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0469\Desktop\Docs in Holding\"/>
    </mc:Choice>
  </mc:AlternateContent>
  <xr:revisionPtr revIDLastSave="0" documentId="8_{FBA53612-AD21-4265-8A99-AA277EA7BEBD}" xr6:coauthVersionLast="31" xr6:coauthVersionMax="31" xr10:uidLastSave="{00000000-0000-0000-0000-000000000000}"/>
  <bookViews>
    <workbookView xWindow="0" yWindow="0" windowWidth="28800" windowHeight="12230" xr2:uid="{00000000-000D-0000-FFFF-FFFF00000000}"/>
  </bookViews>
  <sheets>
    <sheet name="Sheet1" sheetId="1" r:id="rId1"/>
    <sheet name="Note" sheetId="2" r:id="rId2"/>
    <sheet name="Sheet3" sheetId="3" r:id="rId3"/>
  </sheets>
  <definedNames>
    <definedName name="_xlnm.Print_Area" localSheetId="0">Sheet1!$A$1:$AB$33</definedName>
  </definedNames>
  <calcPr calcId="179017"/>
</workbook>
</file>

<file path=xl/calcChain.xml><?xml version="1.0" encoding="utf-8"?>
<calcChain xmlns="http://schemas.openxmlformats.org/spreadsheetml/2006/main">
  <c r="P25" i="1" l="1"/>
  <c r="S25" i="1" l="1"/>
  <c r="K6" i="1" l="1"/>
  <c r="C24" i="1"/>
  <c r="G24" i="1"/>
  <c r="K23" i="1"/>
  <c r="K24" i="1"/>
  <c r="S24" i="1"/>
  <c r="O24" i="1"/>
  <c r="O10" i="1"/>
  <c r="N24" i="1" l="1"/>
  <c r="N25" i="1"/>
  <c r="F24" i="1" l="1"/>
  <c r="N28" i="1" l="1"/>
  <c r="Z28" i="1" s="1"/>
  <c r="N23" i="1"/>
  <c r="AA30" i="1"/>
  <c r="AA28" i="1"/>
  <c r="AA27" i="1"/>
  <c r="AA26" i="1"/>
  <c r="AA21" i="1"/>
  <c r="N8" i="1"/>
  <c r="J23" i="1"/>
  <c r="J22" i="1"/>
  <c r="J6" i="1"/>
  <c r="J24" i="1"/>
  <c r="Z18" i="1"/>
  <c r="Z17" i="1"/>
  <c r="Z16" i="1"/>
  <c r="Z15" i="1"/>
  <c r="Z14" i="1"/>
  <c r="Z13" i="1"/>
  <c r="Z12" i="1"/>
  <c r="Z11" i="1"/>
  <c r="Z10" i="1"/>
  <c r="Z8" i="1"/>
  <c r="Z30" i="1"/>
  <c r="Z21" i="1"/>
  <c r="T31" i="1" l="1"/>
  <c r="U30" i="1"/>
  <c r="U29" i="1"/>
  <c r="U28" i="1"/>
  <c r="U27" i="1"/>
  <c r="U26" i="1"/>
  <c r="S31" i="1"/>
  <c r="R25" i="1"/>
  <c r="Z25" i="1" s="1"/>
  <c r="R24" i="1"/>
  <c r="S23" i="1"/>
  <c r="R23" i="1"/>
  <c r="U22" i="1"/>
  <c r="U21" i="1"/>
  <c r="T19" i="1"/>
  <c r="S19" i="1"/>
  <c r="R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T32" i="1" l="1"/>
  <c r="S32" i="1"/>
  <c r="U24" i="1"/>
  <c r="R31" i="1"/>
  <c r="R32" i="1" s="1"/>
  <c r="U32" i="1" s="1"/>
  <c r="Z23" i="1"/>
  <c r="U19" i="1"/>
  <c r="U33" i="1"/>
  <c r="U25" i="1"/>
  <c r="U23" i="1"/>
  <c r="F4" i="1"/>
  <c r="F5" i="1"/>
  <c r="F7" i="1"/>
  <c r="B9" i="1"/>
  <c r="Z9" i="1" s="1"/>
  <c r="B7" i="1"/>
  <c r="Z7" i="1" s="1"/>
  <c r="B4" i="1"/>
  <c r="B24" i="1"/>
  <c r="Z24" i="1" s="1"/>
  <c r="U31" i="1" l="1"/>
  <c r="Z4" i="1"/>
  <c r="O6" i="1"/>
  <c r="O29" i="1" l="1"/>
  <c r="AA29" i="1" s="1"/>
  <c r="I4" i="1" l="1"/>
  <c r="H19" i="1" l="1"/>
  <c r="N29" i="1" l="1"/>
  <c r="Z29" i="1" s="1"/>
  <c r="N6" i="1" l="1"/>
  <c r="Z6" i="1" s="1"/>
  <c r="O23" i="1" l="1"/>
  <c r="AB20" i="1" l="1"/>
  <c r="AA23" i="1" l="1"/>
  <c r="K22" i="1"/>
  <c r="O25" i="1" l="1"/>
  <c r="AA25" i="1" l="1"/>
  <c r="AB25" i="1" s="1"/>
  <c r="N27" i="1"/>
  <c r="Z27" i="1" s="1"/>
  <c r="AB28" i="1" l="1"/>
  <c r="Y28" i="1"/>
  <c r="M28" i="1"/>
  <c r="I28" i="1"/>
  <c r="E28" i="1"/>
  <c r="B5" i="1"/>
  <c r="Z5" i="1" s="1"/>
  <c r="Q28" i="1" l="1"/>
  <c r="O22" i="1" l="1"/>
  <c r="AA22" i="1" l="1"/>
  <c r="N22" i="1"/>
  <c r="Z22" i="1" s="1"/>
  <c r="J26" i="1"/>
  <c r="Z26" i="1" s="1"/>
  <c r="AA24" i="1" l="1"/>
  <c r="AA7" i="1" l="1"/>
  <c r="AA8" i="1"/>
  <c r="AA9" i="1"/>
  <c r="AA10" i="1"/>
  <c r="AA11" i="1"/>
  <c r="AA12" i="1"/>
  <c r="AB12" i="1" s="1"/>
  <c r="AA13" i="1"/>
  <c r="AB13" i="1" s="1"/>
  <c r="AA14" i="1"/>
  <c r="AB14" i="1" s="1"/>
  <c r="AA15" i="1"/>
  <c r="AA16" i="1"/>
  <c r="AA17" i="1"/>
  <c r="AA18" i="1"/>
  <c r="AB18" i="1" s="1"/>
  <c r="AA6" i="1"/>
  <c r="AB7" i="1"/>
  <c r="AB15" i="1"/>
  <c r="AB17" i="1"/>
  <c r="AB21" i="1"/>
  <c r="AB11" i="1" l="1"/>
  <c r="AB10" i="1"/>
  <c r="AB27" i="1"/>
  <c r="AB26" i="1"/>
  <c r="AB16" i="1"/>
  <c r="AB8" i="1"/>
  <c r="AB9" i="1"/>
  <c r="AB6" i="1"/>
  <c r="AB22" i="1"/>
  <c r="AB23" i="1"/>
  <c r="AB24" i="1"/>
  <c r="AB29" i="1"/>
  <c r="AA4" i="1"/>
  <c r="AB4" i="1" s="1"/>
  <c r="Z1" i="1"/>
  <c r="AA5" i="1"/>
  <c r="AB5" i="1" s="1"/>
  <c r="Z19" i="1"/>
  <c r="Z33" i="1"/>
  <c r="M26" i="1"/>
  <c r="M27" i="1"/>
  <c r="M29" i="1"/>
  <c r="M30" i="1"/>
  <c r="Z31" i="1" l="1"/>
  <c r="Z32" i="1" s="1"/>
  <c r="AA31" i="1"/>
  <c r="AA19" i="1"/>
  <c r="AB19" i="1" s="1"/>
  <c r="AB31" i="1" l="1"/>
  <c r="AA32" i="1"/>
  <c r="AB32" i="1" l="1"/>
  <c r="AA33" i="1"/>
  <c r="L31" i="1"/>
  <c r="M25" i="1"/>
  <c r="M23" i="1"/>
  <c r="K31" i="1"/>
  <c r="M21" i="1"/>
  <c r="L19" i="1"/>
  <c r="J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22" i="1" l="1"/>
  <c r="J31" i="1"/>
  <c r="M31" i="1" s="1"/>
  <c r="L32" i="1"/>
  <c r="K19" i="1"/>
  <c r="K32" i="1" s="1"/>
  <c r="M24" i="1"/>
  <c r="M33" i="1" l="1"/>
  <c r="J32" i="1"/>
  <c r="M19" i="1"/>
  <c r="M32" i="1" l="1"/>
  <c r="N19" i="1" l="1"/>
  <c r="D31" i="1"/>
  <c r="C31" i="1"/>
  <c r="B31" i="1"/>
  <c r="E30" i="1"/>
  <c r="E29" i="1"/>
  <c r="E27" i="1"/>
  <c r="E26" i="1"/>
  <c r="E25" i="1"/>
  <c r="E24" i="1"/>
  <c r="E23" i="1"/>
  <c r="E22" i="1"/>
  <c r="E21" i="1"/>
  <c r="D19" i="1"/>
  <c r="C19" i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P31" i="1"/>
  <c r="O31" i="1"/>
  <c r="Q30" i="1"/>
  <c r="Q29" i="1"/>
  <c r="Q27" i="1"/>
  <c r="Q26" i="1"/>
  <c r="Q25" i="1"/>
  <c r="Q23" i="1"/>
  <c r="Q22" i="1"/>
  <c r="Q21" i="1"/>
  <c r="P19" i="1"/>
  <c r="O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X31" i="1"/>
  <c r="W31" i="1"/>
  <c r="V31" i="1"/>
  <c r="Y30" i="1"/>
  <c r="Y29" i="1"/>
  <c r="Y27" i="1"/>
  <c r="Y26" i="1"/>
  <c r="Y25" i="1"/>
  <c r="Y24" i="1"/>
  <c r="Y23" i="1"/>
  <c r="Y22" i="1"/>
  <c r="Y21" i="1"/>
  <c r="X19" i="1"/>
  <c r="W19" i="1"/>
  <c r="V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W32" i="1" l="1"/>
  <c r="O32" i="1"/>
  <c r="P32" i="1"/>
  <c r="X32" i="1"/>
  <c r="C32" i="1"/>
  <c r="Y31" i="1"/>
  <c r="N31" i="1"/>
  <c r="N32" i="1" s="1"/>
  <c r="Y19" i="1"/>
  <c r="E31" i="1"/>
  <c r="Q19" i="1"/>
  <c r="D32" i="1"/>
  <c r="Q24" i="1"/>
  <c r="E19" i="1"/>
  <c r="B32" i="1"/>
  <c r="V32" i="1"/>
  <c r="G19" i="1"/>
  <c r="F19" i="1"/>
  <c r="Y33" i="1" l="1"/>
  <c r="Q33" i="1"/>
  <c r="Y32" i="1"/>
  <c r="E33" i="1"/>
  <c r="Q31" i="1"/>
  <c r="E32" i="1"/>
  <c r="Q32" i="1"/>
  <c r="G31" i="1" l="1"/>
  <c r="H31" i="1"/>
  <c r="F31" i="1"/>
  <c r="I13" i="1"/>
  <c r="I14" i="1"/>
  <c r="I15" i="1"/>
  <c r="I16" i="1"/>
  <c r="I26" i="1"/>
  <c r="I27" i="1"/>
  <c r="I29" i="1"/>
  <c r="I30" i="1"/>
  <c r="AB30" i="1" s="1"/>
  <c r="I22" i="1"/>
  <c r="I23" i="1"/>
  <c r="I24" i="1"/>
  <c r="I25" i="1"/>
  <c r="I21" i="1"/>
  <c r="I5" i="1"/>
  <c r="I6" i="1"/>
  <c r="I7" i="1"/>
  <c r="I8" i="1"/>
  <c r="I9" i="1"/>
  <c r="I10" i="1"/>
  <c r="I11" i="1"/>
  <c r="I12" i="1"/>
  <c r="I18" i="1"/>
  <c r="I31" i="1" l="1"/>
  <c r="H32" i="1"/>
  <c r="F32" i="1"/>
  <c r="I17" i="1"/>
  <c r="I19" i="1"/>
  <c r="G32" i="1" l="1"/>
  <c r="I33" i="1" l="1"/>
  <c r="I32" i="1"/>
</calcChain>
</file>

<file path=xl/sharedStrings.xml><?xml version="1.0" encoding="utf-8"?>
<sst xmlns="http://schemas.openxmlformats.org/spreadsheetml/2006/main" count="105" uniqueCount="63">
  <si>
    <t>Budgeted</t>
  </si>
  <si>
    <t>Previously Expended</t>
  </si>
  <si>
    <t>Amount of Draw</t>
  </si>
  <si>
    <t>Balance Remaining</t>
  </si>
  <si>
    <t>Personnel Costs</t>
  </si>
  <si>
    <t>Office Costs</t>
  </si>
  <si>
    <t>Professional Services</t>
  </si>
  <si>
    <t>Legal Costs</t>
  </si>
  <si>
    <t>Audit Fees</t>
  </si>
  <si>
    <t>Interim Interest</t>
  </si>
  <si>
    <t>ACTIVITY COSTS:</t>
  </si>
  <si>
    <t>ADMINISTRATIVE/ FINANCIAL COSTS:</t>
  </si>
  <si>
    <t>Contingency</t>
  </si>
  <si>
    <t>TOTAL PROJECT COSTS</t>
  </si>
  <si>
    <t>Expended</t>
  </si>
  <si>
    <t>Balance</t>
  </si>
  <si>
    <t>Total Budget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</si>
  <si>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</si>
  <si>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Administrative Costs</t>
  </si>
  <si>
    <t>Total Activity Costs</t>
  </si>
  <si>
    <t xml:space="preserve">UNIFORM STATUS OF FUNDS SPREADSHEET FOR:                                                                                                                                                   DATE:                                                                               </t>
  </si>
  <si>
    <t xml:space="preserve">Bond Counsel </t>
  </si>
  <si>
    <t>Construction</t>
  </si>
  <si>
    <t>City of Harlowton Phase 3 Water System Improvements Project</t>
  </si>
  <si>
    <t>Travel &amp; Training</t>
  </si>
  <si>
    <t>Engineering Design</t>
  </si>
  <si>
    <t>Construction Engineering Services</t>
  </si>
  <si>
    <t>Note: The $132,926 Bond Anticipation Note for Preliminary Engineering work will be paid out of the WRF B Loan</t>
  </si>
  <si>
    <t>Note: Debt Service Reserve amount is broken down on the combined for the three outstanding loans</t>
  </si>
  <si>
    <t xml:space="preserve">Note:  The $132,096 for the BAN Payoff  includes $120,985 for engineering design and $11,941 for grant administration charged to project thru April 16, 2016 </t>
  </si>
  <si>
    <t>Construction (Water Meters)</t>
  </si>
  <si>
    <t>US Bank Interest Charge for BAN</t>
  </si>
  <si>
    <t>Note:  $25,468 payoff of SRF reserve from the A loan is shown as a Miscellaneous expense on the A loan disbursement report</t>
  </si>
  <si>
    <t>Loan Reserves (includes payoff of reserves from previous SRF loans)</t>
  </si>
  <si>
    <t>Construction (South Well Rehab)</t>
  </si>
  <si>
    <t>Note: Wilting Invoice from 6-16 taken out of SRF A Construction on 8/5 for August Draw (EP)</t>
  </si>
  <si>
    <t>Note: 8/5/2016 Moved $565.00 from Contingency to Construction line item for Wilting invoice date 6/2016 (EP)</t>
  </si>
  <si>
    <t>Note: $68,674 not included in SRF draw request #1. Submitted in Draw #2</t>
  </si>
  <si>
    <t>Note:  September 12, 2016 - Council approves Change Order #1 increase Construction Contract from 1,244,405 to $1,536,238 and $76,577.75 was moved from Contingency to the SRF B loan Construction budget</t>
  </si>
  <si>
    <t>Engineering (Grant Writing &amp; PER)</t>
  </si>
  <si>
    <t>Liquid Engineering (Water Tank)</t>
  </si>
  <si>
    <t>Note:  October 19, 2016 - Transferred $9,405 from SRF B Contingency to Engineering Grant Writing and PER - Authorization received from Anna Miller</t>
  </si>
  <si>
    <t>Note:  October 19, 2016 - Transferred $11,700 from SRF B Contingency to Liguid Engineering (water tank) line item budget</t>
  </si>
  <si>
    <t>Note:  October 24, 2016 - Transferred $3,650 from SRF B loan contingency and $47,050 from WRDA Construction Water Meters contigency to Construction Engineering Services</t>
  </si>
  <si>
    <t>Note: February 6, 2017- Transferred $2,227.57 from WRDA Construction to Construction Engineering Services</t>
  </si>
  <si>
    <t>Construction (Pritchard Well)</t>
  </si>
  <si>
    <t>Note: March 8, 2017 added Line Item for Pritchard Well construction. Transferred $92,81.00 from SRF Contingency to Construction (Pritchard Well) (EP)</t>
  </si>
  <si>
    <t>Note: March 27, 2017 Transferred $804.00 from SRF Contingency to Construction (Pritchard Well) and $326 from contingency to professional services (EP)</t>
  </si>
  <si>
    <t xml:space="preserve">Note: July 12, 2017: Budget change request </t>
  </si>
  <si>
    <t xml:space="preserve">CDBG Budget: Move $2,500 (Peronnel: $1,000, office: $500, &amp; legal: $500, Travel: $218.34) From administrative activity costs to Construction </t>
  </si>
  <si>
    <t xml:space="preserve">TSEP Budget: Move $2,500 (Peronnel: $551.40, travel $262.73: $500, &amp; Legal: $237) From administrative activity costs to Construction </t>
  </si>
  <si>
    <t>Note: July 18, 2017: Moved $3,961 from contingency to Water Meters in SRF B</t>
  </si>
  <si>
    <t>Note: July 18, 2017: Moved $1,056 from Professional Serives, $1,899 from engineering design, $1199 from Construction engineering to Construction in SRF A</t>
  </si>
  <si>
    <t xml:space="preserve">Note: July 18, 2017: Moved $3,166 from Audit fees water meters and $4,833.50 to construction in SRF B. City to cover Audit fees </t>
  </si>
  <si>
    <t>Note: July 18, 2017: Moved $381 from construction engineering to construction in SRF b</t>
  </si>
  <si>
    <t>Note: July 18, 2017: Moved $52,767.79 from contingency to construction in SRF B</t>
  </si>
  <si>
    <t>Note: July 18, 2017: Moved $831 from construction engineering to construction in SRF b</t>
  </si>
  <si>
    <r>
      <t xml:space="preserve">Funding Source: </t>
    </r>
    <r>
      <rPr>
        <b/>
        <sz val="11"/>
        <rFont val="Arial"/>
        <family val="2"/>
      </rPr>
      <t xml:space="preserve"> TSEP</t>
    </r>
    <r>
      <rPr>
        <sz val="11"/>
        <rFont val="Arial"/>
        <family val="2"/>
      </rPr>
      <t xml:space="preserve"> </t>
    </r>
  </si>
  <si>
    <r>
      <t xml:space="preserve">Funding Source: </t>
    </r>
    <r>
      <rPr>
        <b/>
        <sz val="11"/>
        <rFont val="Arial"/>
        <family val="2"/>
      </rPr>
      <t xml:space="preserve"> CDBG</t>
    </r>
  </si>
  <si>
    <r>
      <t xml:space="preserve">Funding Source: </t>
    </r>
    <r>
      <rPr>
        <b/>
        <sz val="11"/>
        <rFont val="Arial"/>
        <family val="2"/>
      </rPr>
      <t xml:space="preserve"> SRF A Loan</t>
    </r>
    <r>
      <rPr>
        <sz val="11"/>
        <rFont val="Arial"/>
        <family val="2"/>
      </rPr>
      <t xml:space="preserve">   </t>
    </r>
  </si>
  <si>
    <r>
      <t xml:space="preserve">Funding Source: </t>
    </r>
    <r>
      <rPr>
        <b/>
        <sz val="11"/>
        <rFont val="Arial"/>
        <family val="2"/>
      </rPr>
      <t xml:space="preserve"> SRF B Loan</t>
    </r>
    <r>
      <rPr>
        <sz val="11"/>
        <rFont val="Arial"/>
        <family val="2"/>
      </rPr>
      <t xml:space="preserve">   </t>
    </r>
  </si>
  <si>
    <r>
      <t xml:space="preserve">Funding Source: </t>
    </r>
    <r>
      <rPr>
        <b/>
        <sz val="11"/>
        <rFont val="Arial"/>
        <family val="2"/>
      </rPr>
      <t xml:space="preserve"> WRDA (Section 595)</t>
    </r>
  </si>
  <si>
    <r>
      <t xml:space="preserve">Funding Source: </t>
    </r>
    <r>
      <rPr>
        <b/>
        <sz val="11"/>
        <rFont val="Arial"/>
        <family val="2"/>
      </rPr>
      <t xml:space="preserve"> Local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</si>
</sst>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Californian FB"/>
      <family val="1"/>
    </font>
    <font>
      <sz val="1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11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3" borderId="2" xfId="0" applyFill="1" applyBorder="1"/>
    <xf numFmtId="0" fontId="0" fillId="4" borderId="2" xfId="0" applyFill="1" applyBorder="1"/>
    <xf numFmtId="44" fontId="0" fillId="0" borderId="0" xfId="0" applyNumberFormat="1"/>
    <xf numFmtId="0" fontId="1" fillId="0" borderId="0" xfId="0" applyFont="1"/>
    <xf numFmtId="0" fontId="2" fillId="0" borderId="0" xfId="0" applyFont="1"/>
    <xf numFmtId="10" fontId="2" fillId="0" borderId="0" xfId="0" applyNumberFormat="1" applyFont="1"/>
    <xf numFmtId="44" fontId="1" fillId="7" borderId="8" xfId="0" applyNumberFormat="1" applyFont="1" applyFill="1" applyBorder="1"/>
    <xf numFmtId="42" fontId="2" fillId="0" borderId="0" xfId="0" applyNumberFormat="1" applyFont="1"/>
    <xf numFmtId="0" fontId="2" fillId="0" borderId="0" xfId="0" applyFont="1" applyFill="1"/>
    <xf numFmtId="0" fontId="0" fillId="0" borderId="25" xfId="0" applyBorder="1"/>
    <xf numFmtId="0" fontId="0" fillId="0" borderId="25" xfId="0" applyFill="1" applyBorder="1"/>
    <xf numFmtId="0" fontId="0" fillId="0" borderId="0" xfId="0" applyFill="1" applyBorder="1"/>
    <xf numFmtId="44" fontId="2" fillId="0" borderId="0" xfId="0" applyNumberFormat="1" applyFont="1"/>
    <xf numFmtId="44" fontId="2" fillId="0" borderId="0" xfId="0" applyNumberFormat="1" applyFont="1" applyFill="1"/>
    <xf numFmtId="14" fontId="0" fillId="0" borderId="0" xfId="0" applyNumberFormat="1"/>
    <xf numFmtId="44" fontId="1" fillId="0" borderId="0" xfId="0" applyNumberFormat="1" applyFont="1"/>
    <xf numFmtId="44" fontId="0" fillId="0" borderId="0" xfId="1" applyFont="1"/>
    <xf numFmtId="43" fontId="2" fillId="0" borderId="0" xfId="0" applyNumberFormat="1" applyFont="1" applyFill="1"/>
    <xf numFmtId="43" fontId="0" fillId="0" borderId="0" xfId="0" applyNumberFormat="1"/>
    <xf numFmtId="0" fontId="4" fillId="0" borderId="0" xfId="0" applyFont="1" applyFill="1"/>
    <xf numFmtId="0" fontId="4" fillId="0" borderId="0" xfId="0" applyFont="1"/>
    <xf numFmtId="0" fontId="0" fillId="0" borderId="0" xfId="0" applyFill="1"/>
    <xf numFmtId="44" fontId="0" fillId="0" borderId="0" xfId="0" applyNumberFormat="1" applyFill="1"/>
    <xf numFmtId="44" fontId="1" fillId="0" borderId="0" xfId="0" applyNumberFormat="1" applyFont="1" applyFill="1"/>
    <xf numFmtId="43" fontId="0" fillId="0" borderId="0" xfId="0" applyNumberFormat="1" applyFill="1"/>
    <xf numFmtId="14" fontId="0" fillId="0" borderId="0" xfId="0" applyNumberFormat="1" applyFill="1"/>
    <xf numFmtId="0" fontId="1" fillId="0" borderId="0" xfId="0" applyFont="1" applyFill="1"/>
    <xf numFmtId="0" fontId="5" fillId="0" borderId="0" xfId="0" applyFont="1" applyFill="1"/>
    <xf numFmtId="44" fontId="1" fillId="7" borderId="9" xfId="0" applyNumberFormat="1" applyFont="1" applyFill="1" applyBorder="1"/>
    <xf numFmtId="0" fontId="6" fillId="7" borderId="5" xfId="0" applyFont="1" applyFill="1" applyBorder="1"/>
    <xf numFmtId="14" fontId="6" fillId="8" borderId="5" xfId="0" applyNumberFormat="1" applyFont="1" applyFill="1" applyBorder="1"/>
    <xf numFmtId="0" fontId="6" fillId="8" borderId="5" xfId="0" applyFont="1" applyFill="1" applyBorder="1"/>
    <xf numFmtId="0" fontId="6" fillId="7" borderId="1" xfId="0" applyFont="1" applyFill="1" applyBorder="1"/>
    <xf numFmtId="0" fontId="6" fillId="7" borderId="15" xfId="0" applyFont="1" applyFill="1" applyBorder="1" applyAlignment="1"/>
    <xf numFmtId="0" fontId="6" fillId="7" borderId="1" xfId="0" applyFont="1" applyFill="1" applyBorder="1" applyAlignment="1"/>
    <xf numFmtId="0" fontId="6" fillId="7" borderId="22" xfId="0" applyFont="1" applyFill="1" applyBorder="1" applyAlignment="1"/>
    <xf numFmtId="0" fontId="6" fillId="9" borderId="26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7" fillId="6" borderId="1" xfId="0" applyFont="1" applyFill="1" applyBorder="1" applyAlignment="1">
      <alignment wrapText="1"/>
    </xf>
    <xf numFmtId="0" fontId="6" fillId="9" borderId="6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6" fillId="6" borderId="4" xfId="0" applyFont="1" applyFill="1" applyBorder="1"/>
    <xf numFmtId="44" fontId="6" fillId="7" borderId="8" xfId="0" applyNumberFormat="1" applyFont="1" applyFill="1" applyBorder="1"/>
    <xf numFmtId="44" fontId="6" fillId="7" borderId="9" xfId="0" applyNumberFormat="1" applyFont="1" applyFill="1" applyBorder="1"/>
    <xf numFmtId="44" fontId="6" fillId="9" borderId="10" xfId="0" applyNumberFormat="1" applyFont="1" applyFill="1" applyBorder="1"/>
    <xf numFmtId="44" fontId="6" fillId="9" borderId="13" xfId="0" applyNumberFormat="1" applyFont="1" applyFill="1" applyBorder="1"/>
    <xf numFmtId="44" fontId="6" fillId="9" borderId="24" xfId="0" applyNumberFormat="1" applyFont="1" applyFill="1" applyBorder="1"/>
    <xf numFmtId="44" fontId="8" fillId="9" borderId="11" xfId="0" applyNumberFormat="1" applyFont="1" applyFill="1" applyBorder="1"/>
    <xf numFmtId="44" fontId="9" fillId="6" borderId="17" xfId="0" applyNumberFormat="1" applyFont="1" applyFill="1" applyBorder="1"/>
    <xf numFmtId="0" fontId="6" fillId="6" borderId="4" xfId="0" applyFont="1" applyFill="1" applyBorder="1" applyAlignment="1">
      <alignment wrapText="1"/>
    </xf>
    <xf numFmtId="0" fontId="6" fillId="6" borderId="13" xfId="0" applyFont="1" applyFill="1" applyBorder="1" applyAlignment="1">
      <alignment wrapText="1"/>
    </xf>
    <xf numFmtId="0" fontId="7" fillId="6" borderId="1" xfId="0" applyFont="1" applyFill="1" applyBorder="1"/>
    <xf numFmtId="44" fontId="6" fillId="6" borderId="15" xfId="0" applyNumberFormat="1" applyFont="1" applyFill="1" applyBorder="1"/>
    <xf numFmtId="44" fontId="6" fillId="6" borderId="2" xfId="0" applyNumberFormat="1" applyFont="1" applyFill="1" applyBorder="1"/>
    <xf numFmtId="44" fontId="6" fillId="6" borderId="1" xfId="0" applyNumberFormat="1" applyFont="1" applyFill="1" applyBorder="1"/>
    <xf numFmtId="44" fontId="6" fillId="6" borderId="13" xfId="0" applyNumberFormat="1" applyFont="1" applyFill="1" applyBorder="1"/>
    <xf numFmtId="44" fontId="6" fillId="11" borderId="2" xfId="0" applyNumberFormat="1" applyFont="1" applyFill="1" applyBorder="1"/>
    <xf numFmtId="44" fontId="8" fillId="9" borderId="14" xfId="0" applyNumberFormat="1" applyFont="1" applyFill="1" applyBorder="1"/>
    <xf numFmtId="0" fontId="7" fillId="2" borderId="2" xfId="0" applyFont="1" applyFill="1" applyBorder="1"/>
    <xf numFmtId="44" fontId="6" fillId="2" borderId="21" xfId="0" applyNumberFormat="1" applyFont="1" applyFill="1" applyBorder="1"/>
    <xf numFmtId="44" fontId="6" fillId="2" borderId="2" xfId="0" applyNumberFormat="1" applyFont="1" applyFill="1" applyBorder="1"/>
    <xf numFmtId="44" fontId="6" fillId="2" borderId="13" xfId="0" applyNumberFormat="1" applyFont="1" applyFill="1" applyBorder="1"/>
    <xf numFmtId="44" fontId="8" fillId="2" borderId="12" xfId="0" applyNumberFormat="1" applyFont="1" applyFill="1" applyBorder="1"/>
    <xf numFmtId="0" fontId="7" fillId="6" borderId="0" xfId="0" applyFont="1" applyFill="1"/>
    <xf numFmtId="44" fontId="6" fillId="6" borderId="6" xfId="0" applyNumberFormat="1" applyFont="1" applyFill="1" applyBorder="1"/>
    <xf numFmtId="44" fontId="6" fillId="6" borderId="0" xfId="0" applyNumberFormat="1" applyFont="1" applyFill="1" applyBorder="1"/>
    <xf numFmtId="44" fontId="6" fillId="6" borderId="16" xfId="0" applyNumberFormat="1" applyFont="1" applyFill="1" applyBorder="1"/>
    <xf numFmtId="0" fontId="7" fillId="5" borderId="3" xfId="0" applyFont="1" applyFill="1" applyBorder="1"/>
    <xf numFmtId="44" fontId="6" fillId="5" borderId="18" xfId="0" applyNumberFormat="1" applyFont="1" applyFill="1" applyBorder="1"/>
    <xf numFmtId="44" fontId="6" fillId="5" borderId="3" xfId="0" applyNumberFormat="1" applyFont="1" applyFill="1" applyBorder="1"/>
    <xf numFmtId="44" fontId="6" fillId="5" borderId="19" xfId="0" applyNumberFormat="1" applyFont="1" applyFill="1" applyBorder="1"/>
    <xf numFmtId="44" fontId="9" fillId="5" borderId="20" xfId="0" applyNumberFormat="1" applyFont="1" applyFill="1" applyBorder="1"/>
    <xf numFmtId="0" fontId="6" fillId="0" borderId="0" xfId="0" applyFont="1"/>
    <xf numFmtId="44" fontId="6" fillId="12" borderId="0" xfId="0" applyNumberFormat="1" applyFont="1" applyFill="1"/>
    <xf numFmtId="14" fontId="6" fillId="10" borderId="0" xfId="0" applyNumberFormat="1" applyFont="1" applyFill="1"/>
    <xf numFmtId="10" fontId="6" fillId="0" borderId="0" xfId="0" applyNumberFormat="1" applyFont="1"/>
    <xf numFmtId="14" fontId="9" fillId="0" borderId="23" xfId="0" applyNumberFormat="1" applyFont="1" applyFill="1" applyBorder="1"/>
    <xf numFmtId="44" fontId="1" fillId="6" borderId="6" xfId="0" applyNumberFormat="1" applyFont="1" applyFill="1" applyBorder="1"/>
    <xf numFmtId="44" fontId="1" fillId="6" borderId="0" xfId="0" applyNumberFormat="1" applyFont="1" applyFill="1" applyBorder="1"/>
    <xf numFmtId="44" fontId="1" fillId="5" borderId="18" xfId="0" applyNumberFormat="1" applyFont="1" applyFill="1" applyBorder="1"/>
    <xf numFmtId="44" fontId="1" fillId="5" borderId="3" xfId="0" applyNumberFormat="1" applyFont="1" applyFill="1" applyBorder="1"/>
    <xf numFmtId="44" fontId="1" fillId="1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62"/>
  <sheetViews>
    <sheetView showGridLines="0" tabSelected="1" topLeftCell="A31" zoomScaleNormal="100" workbookViewId="0">
      <selection activeCell="P32" activeCellId="2" sqref="P25 P31 P32"/>
    </sheetView>
  </sheetViews>
  <sheetFormatPr defaultRowHeight="12.5" x14ac:dyDescent="0.25"/>
  <cols>
    <col min="1" max="1" width="32.81640625" customWidth="1"/>
    <col min="2" max="2" width="13.54296875" customWidth="1"/>
    <col min="3" max="4" width="12.26953125" customWidth="1"/>
    <col min="5" max="5" width="12.7265625" customWidth="1"/>
    <col min="6" max="6" width="14.26953125" customWidth="1"/>
    <col min="7" max="7" width="12.26953125" customWidth="1"/>
    <col min="8" max="8" width="12.54296875" customWidth="1"/>
    <col min="9" max="9" width="12.7265625" customWidth="1"/>
    <col min="10" max="10" width="15.453125" customWidth="1"/>
    <col min="11" max="11" width="12.26953125" customWidth="1"/>
    <col min="12" max="12" width="14.26953125" customWidth="1"/>
    <col min="13" max="13" width="13.7265625" customWidth="1"/>
    <col min="14" max="14" width="14.1796875" customWidth="1"/>
    <col min="15" max="15" width="14.453125" bestFit="1" customWidth="1"/>
    <col min="16" max="16" width="12" customWidth="1"/>
    <col min="17" max="17" width="12.7265625" customWidth="1"/>
    <col min="18" max="20" width="12.26953125" customWidth="1"/>
    <col min="21" max="21" width="13.7265625" customWidth="1"/>
    <col min="22" max="24" width="12.26953125" hidden="1" customWidth="1"/>
    <col min="25" max="25" width="13.7265625" hidden="1" customWidth="1"/>
    <col min="26" max="26" width="15.7265625" customWidth="1"/>
    <col min="27" max="27" width="15.81640625" customWidth="1"/>
    <col min="28" max="28" width="16.7265625" customWidth="1"/>
    <col min="29" max="29" width="12.26953125" bestFit="1" customWidth="1"/>
    <col min="33" max="33" width="12.26953125" bestFit="1" customWidth="1"/>
  </cols>
  <sheetData>
    <row r="1" spans="1:130" ht="20" customHeight="1" thickBot="1" x14ac:dyDescent="0.35">
      <c r="A1" s="31" t="s">
        <v>20</v>
      </c>
      <c r="B1" s="31"/>
      <c r="C1" s="31"/>
      <c r="D1" s="31"/>
      <c r="E1" s="31" t="s">
        <v>23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>
        <f ca="1">NOW()</f>
        <v>43474.672502777779</v>
      </c>
      <c r="AA1" s="33"/>
      <c r="AB1" s="33"/>
    </row>
    <row r="2" spans="1:130" ht="20" customHeight="1" thickTop="1" x14ac:dyDescent="0.3">
      <c r="A2" s="34"/>
      <c r="B2" s="35" t="s">
        <v>57</v>
      </c>
      <c r="C2" s="36"/>
      <c r="D2" s="36"/>
      <c r="E2" s="37"/>
      <c r="F2" s="35" t="s">
        <v>58</v>
      </c>
      <c r="G2" s="36"/>
      <c r="H2" s="36"/>
      <c r="I2" s="37"/>
      <c r="J2" s="35" t="s">
        <v>59</v>
      </c>
      <c r="K2" s="36"/>
      <c r="L2" s="36"/>
      <c r="M2" s="37"/>
      <c r="N2" s="35" t="s">
        <v>60</v>
      </c>
      <c r="O2" s="36"/>
      <c r="P2" s="36"/>
      <c r="Q2" s="37"/>
      <c r="R2" s="35" t="s">
        <v>61</v>
      </c>
      <c r="S2" s="36"/>
      <c r="T2" s="36"/>
      <c r="U2" s="37"/>
      <c r="V2" s="35" t="s">
        <v>62</v>
      </c>
      <c r="W2" s="36"/>
      <c r="X2" s="36"/>
      <c r="Y2" s="37"/>
      <c r="Z2" s="38" t="s">
        <v>16</v>
      </c>
      <c r="AA2" s="39"/>
      <c r="AB2" s="40"/>
      <c r="AC2" s="12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</row>
    <row r="3" spans="1:130" s="2" customFormat="1" ht="31" customHeight="1" x14ac:dyDescent="0.3">
      <c r="A3" s="41" t="s">
        <v>11</v>
      </c>
      <c r="B3" s="42" t="s">
        <v>0</v>
      </c>
      <c r="C3" s="43" t="s">
        <v>1</v>
      </c>
      <c r="D3" s="43" t="s">
        <v>2</v>
      </c>
      <c r="E3" s="44" t="s">
        <v>3</v>
      </c>
      <c r="F3" s="42" t="s">
        <v>0</v>
      </c>
      <c r="G3" s="43" t="s">
        <v>1</v>
      </c>
      <c r="H3" s="43" t="s">
        <v>2</v>
      </c>
      <c r="I3" s="44" t="s">
        <v>3</v>
      </c>
      <c r="J3" s="42" t="s">
        <v>0</v>
      </c>
      <c r="K3" s="43" t="s">
        <v>1</v>
      </c>
      <c r="L3" s="43" t="s">
        <v>2</v>
      </c>
      <c r="M3" s="44" t="s">
        <v>3</v>
      </c>
      <c r="N3" s="42" t="s">
        <v>0</v>
      </c>
      <c r="O3" s="43" t="s">
        <v>1</v>
      </c>
      <c r="P3" s="43" t="s">
        <v>2</v>
      </c>
      <c r="Q3" s="44" t="s">
        <v>3</v>
      </c>
      <c r="R3" s="42" t="s">
        <v>0</v>
      </c>
      <c r="S3" s="43" t="s">
        <v>1</v>
      </c>
      <c r="T3" s="43" t="s">
        <v>2</v>
      </c>
      <c r="U3" s="44" t="s">
        <v>3</v>
      </c>
      <c r="V3" s="42" t="s">
        <v>0</v>
      </c>
      <c r="W3" s="43" t="s">
        <v>1</v>
      </c>
      <c r="X3" s="43" t="s">
        <v>2</v>
      </c>
      <c r="Y3" s="44" t="s">
        <v>3</v>
      </c>
      <c r="Z3" s="45" t="s">
        <v>0</v>
      </c>
      <c r="AA3" s="45" t="s">
        <v>14</v>
      </c>
      <c r="AB3" s="45" t="s">
        <v>15</v>
      </c>
      <c r="AC3" s="12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</row>
    <row r="4" spans="1:130" ht="20" customHeight="1" x14ac:dyDescent="0.3">
      <c r="A4" s="46" t="s">
        <v>4</v>
      </c>
      <c r="B4" s="47">
        <f>1000-448.6-551.4</f>
        <v>0</v>
      </c>
      <c r="C4" s="48"/>
      <c r="D4" s="48"/>
      <c r="E4" s="49">
        <f>B4-C4-D4</f>
        <v>0</v>
      </c>
      <c r="F4" s="47">
        <f>1000-1000</f>
        <v>0</v>
      </c>
      <c r="G4" s="48"/>
      <c r="H4" s="48"/>
      <c r="I4" s="50">
        <f t="shared" ref="I4:I32" si="0">F4-G4-H4</f>
        <v>0</v>
      </c>
      <c r="J4" s="47"/>
      <c r="K4" s="48"/>
      <c r="L4" s="48"/>
      <c r="M4" s="49">
        <f>J4-K4-L4</f>
        <v>0</v>
      </c>
      <c r="N4" s="47"/>
      <c r="O4" s="48"/>
      <c r="P4" s="48"/>
      <c r="Q4" s="49">
        <f>N4-O4-P4</f>
        <v>0</v>
      </c>
      <c r="R4" s="47"/>
      <c r="S4" s="48"/>
      <c r="T4" s="48"/>
      <c r="U4" s="49">
        <f>R4-S4-T4</f>
        <v>0</v>
      </c>
      <c r="V4" s="47"/>
      <c r="W4" s="48"/>
      <c r="X4" s="48"/>
      <c r="Y4" s="49">
        <f>V4-W4-X4</f>
        <v>0</v>
      </c>
      <c r="Z4" s="51">
        <f t="shared" ref="Z4:Z18" si="1">B4+F4+J4+N4+R4+V4</f>
        <v>0</v>
      </c>
      <c r="AA4" s="52">
        <f>G4+H4+W4+X4+C4+D4+O4+P4+K4+L4</f>
        <v>0</v>
      </c>
      <c r="AB4" s="53">
        <f t="shared" ref="AB4:AB29" si="2">Z4-AA4</f>
        <v>0</v>
      </c>
      <c r="AC4" s="1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</row>
    <row r="5" spans="1:130" ht="20" customHeight="1" x14ac:dyDescent="0.3">
      <c r="A5" s="46" t="s">
        <v>5</v>
      </c>
      <c r="B5" s="47">
        <f>500+448.6</f>
        <v>948.6</v>
      </c>
      <c r="C5" s="48">
        <v>948.6</v>
      </c>
      <c r="D5" s="48"/>
      <c r="E5" s="50">
        <f t="shared" ref="E5:E19" si="3">B5-C5-D5</f>
        <v>0</v>
      </c>
      <c r="F5" s="47">
        <f>500-500</f>
        <v>0</v>
      </c>
      <c r="G5" s="48"/>
      <c r="H5" s="48"/>
      <c r="I5" s="50">
        <f t="shared" si="0"/>
        <v>0</v>
      </c>
      <c r="J5" s="47"/>
      <c r="K5" s="48"/>
      <c r="L5" s="48"/>
      <c r="M5" s="50">
        <f t="shared" ref="M5:M19" si="4">J5-K5-L5</f>
        <v>0</v>
      </c>
      <c r="N5" s="47"/>
      <c r="O5" s="48"/>
      <c r="P5" s="48"/>
      <c r="Q5" s="50">
        <f t="shared" ref="Q5:Q19" si="5">N5-O5-P5</f>
        <v>0</v>
      </c>
      <c r="R5" s="47"/>
      <c r="S5" s="48"/>
      <c r="T5" s="48"/>
      <c r="U5" s="50">
        <f t="shared" ref="U5:U19" si="6">R5-S5-T5</f>
        <v>0</v>
      </c>
      <c r="V5" s="47"/>
      <c r="W5" s="48"/>
      <c r="X5" s="48"/>
      <c r="Y5" s="50">
        <f t="shared" ref="Y5:Y19" si="7">V5-W5-X5</f>
        <v>0</v>
      </c>
      <c r="Z5" s="51">
        <f>B5+F5+J5+N5+R5+V5</f>
        <v>948.6</v>
      </c>
      <c r="AA5" s="52">
        <f>G5+H5+W5+X5+C5+D5+O5+P5</f>
        <v>948.6</v>
      </c>
      <c r="AB5" s="53">
        <f t="shared" si="2"/>
        <v>0</v>
      </c>
      <c r="AC5" s="12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</row>
    <row r="6" spans="1:130" ht="20" customHeight="1" x14ac:dyDescent="0.3">
      <c r="A6" s="46" t="s">
        <v>6</v>
      </c>
      <c r="B6" s="47"/>
      <c r="C6" s="48"/>
      <c r="D6" s="48"/>
      <c r="E6" s="50">
        <f t="shared" si="3"/>
        <v>0</v>
      </c>
      <c r="F6" s="47"/>
      <c r="G6" s="48"/>
      <c r="H6" s="48"/>
      <c r="I6" s="50">
        <f t="shared" si="0"/>
        <v>0</v>
      </c>
      <c r="J6" s="47">
        <f>11277-1056</f>
        <v>10221</v>
      </c>
      <c r="K6" s="48">
        <f>2829+1605+2354+2541+892</f>
        <v>10221</v>
      </c>
      <c r="L6" s="48"/>
      <c r="M6" s="50">
        <f t="shared" si="4"/>
        <v>0</v>
      </c>
      <c r="N6" s="47">
        <f>23723+726</f>
        <v>24449</v>
      </c>
      <c r="O6" s="48">
        <f>23670+779</f>
        <v>24449</v>
      </c>
      <c r="P6" s="48"/>
      <c r="Q6" s="50">
        <f t="shared" si="5"/>
        <v>0</v>
      </c>
      <c r="R6" s="47"/>
      <c r="S6" s="48"/>
      <c r="T6" s="48"/>
      <c r="U6" s="50">
        <f t="shared" si="6"/>
        <v>0</v>
      </c>
      <c r="V6" s="47"/>
      <c r="W6" s="48"/>
      <c r="X6" s="48"/>
      <c r="Y6" s="50">
        <f t="shared" si="7"/>
        <v>0</v>
      </c>
      <c r="Z6" s="51">
        <f t="shared" si="1"/>
        <v>34670</v>
      </c>
      <c r="AA6" s="52">
        <f t="shared" ref="AA6:AA18" si="8">G6+H6+W6+X6+C6+D6+O6+P6+L6+K6</f>
        <v>34670</v>
      </c>
      <c r="AB6" s="53">
        <f t="shared" si="2"/>
        <v>0</v>
      </c>
      <c r="AC6" s="12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</row>
    <row r="7" spans="1:130" ht="20" customHeight="1" x14ac:dyDescent="0.3">
      <c r="A7" s="46" t="s">
        <v>7</v>
      </c>
      <c r="B7" s="47">
        <f>500-500</f>
        <v>0</v>
      </c>
      <c r="C7" s="48"/>
      <c r="D7" s="48"/>
      <c r="E7" s="50">
        <f t="shared" si="3"/>
        <v>0</v>
      </c>
      <c r="F7" s="47">
        <f>500-500</f>
        <v>0</v>
      </c>
      <c r="G7" s="48"/>
      <c r="H7" s="48"/>
      <c r="I7" s="50">
        <f t="shared" si="0"/>
        <v>0</v>
      </c>
      <c r="J7" s="47"/>
      <c r="K7" s="48"/>
      <c r="L7" s="48"/>
      <c r="M7" s="50">
        <f t="shared" si="4"/>
        <v>0</v>
      </c>
      <c r="N7" s="47"/>
      <c r="O7" s="48"/>
      <c r="P7" s="48"/>
      <c r="Q7" s="50">
        <f t="shared" si="5"/>
        <v>0</v>
      </c>
      <c r="R7" s="47"/>
      <c r="S7" s="48"/>
      <c r="T7" s="48"/>
      <c r="U7" s="50">
        <f t="shared" si="6"/>
        <v>0</v>
      </c>
      <c r="V7" s="47"/>
      <c r="W7" s="48"/>
      <c r="X7" s="48"/>
      <c r="Y7" s="50">
        <f t="shared" si="7"/>
        <v>0</v>
      </c>
      <c r="Z7" s="51">
        <f t="shared" si="1"/>
        <v>0</v>
      </c>
      <c r="AA7" s="52">
        <f t="shared" si="8"/>
        <v>0</v>
      </c>
      <c r="AB7" s="53">
        <f t="shared" si="2"/>
        <v>0</v>
      </c>
      <c r="AC7" s="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</row>
    <row r="8" spans="1:130" ht="20" customHeight="1" x14ac:dyDescent="0.3">
      <c r="A8" s="46" t="s">
        <v>8</v>
      </c>
      <c r="B8" s="47"/>
      <c r="C8" s="48"/>
      <c r="D8" s="48"/>
      <c r="E8" s="50">
        <f t="shared" si="3"/>
        <v>0</v>
      </c>
      <c r="F8" s="47"/>
      <c r="G8" s="48"/>
      <c r="H8" s="48"/>
      <c r="I8" s="50">
        <f t="shared" si="0"/>
        <v>0</v>
      </c>
      <c r="J8" s="47"/>
      <c r="K8" s="48"/>
      <c r="L8" s="48"/>
      <c r="M8" s="50">
        <f t="shared" si="4"/>
        <v>0</v>
      </c>
      <c r="N8" s="47">
        <f>8000-8000</f>
        <v>0</v>
      </c>
      <c r="O8" s="48"/>
      <c r="P8" s="48"/>
      <c r="Q8" s="50">
        <f t="shared" si="5"/>
        <v>0</v>
      </c>
      <c r="R8" s="47"/>
      <c r="S8" s="48"/>
      <c r="T8" s="48"/>
      <c r="U8" s="50">
        <f t="shared" si="6"/>
        <v>0</v>
      </c>
      <c r="V8" s="47"/>
      <c r="W8" s="48"/>
      <c r="X8" s="48"/>
      <c r="Y8" s="50">
        <f t="shared" si="7"/>
        <v>0</v>
      </c>
      <c r="Z8" s="51">
        <f t="shared" si="1"/>
        <v>0</v>
      </c>
      <c r="AA8" s="52">
        <f t="shared" si="8"/>
        <v>0</v>
      </c>
      <c r="AB8" s="53">
        <f t="shared" si="2"/>
        <v>0</v>
      </c>
      <c r="AC8" s="12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ht="20" customHeight="1" x14ac:dyDescent="0.3">
      <c r="A9" s="46" t="s">
        <v>24</v>
      </c>
      <c r="B9" s="47">
        <f>500-237.27</f>
        <v>262.73</v>
      </c>
      <c r="C9" s="48">
        <v>262.73</v>
      </c>
      <c r="D9" s="48"/>
      <c r="E9" s="50">
        <f t="shared" si="3"/>
        <v>0</v>
      </c>
      <c r="F9" s="47">
        <v>281.33999999999997</v>
      </c>
      <c r="G9" s="48">
        <v>281.33999999999997</v>
      </c>
      <c r="H9" s="48"/>
      <c r="I9" s="50">
        <f t="shared" si="0"/>
        <v>0</v>
      </c>
      <c r="J9" s="47"/>
      <c r="K9" s="48"/>
      <c r="L9" s="48"/>
      <c r="M9" s="50">
        <f t="shared" si="4"/>
        <v>0</v>
      </c>
      <c r="N9" s="47"/>
      <c r="O9" s="48"/>
      <c r="P9" s="48"/>
      <c r="Q9" s="50">
        <f t="shared" si="5"/>
        <v>0</v>
      </c>
      <c r="R9" s="47"/>
      <c r="S9" s="48"/>
      <c r="T9" s="48"/>
      <c r="U9" s="50">
        <f t="shared" si="6"/>
        <v>0</v>
      </c>
      <c r="V9" s="47"/>
      <c r="W9" s="48"/>
      <c r="X9" s="48"/>
      <c r="Y9" s="50">
        <f t="shared" si="7"/>
        <v>0</v>
      </c>
      <c r="Z9" s="51">
        <f t="shared" si="1"/>
        <v>544.06999999999994</v>
      </c>
      <c r="AA9" s="52">
        <f t="shared" si="8"/>
        <v>544.06999999999994</v>
      </c>
      <c r="AB9" s="53">
        <f t="shared" si="2"/>
        <v>0</v>
      </c>
      <c r="AC9" s="12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</row>
    <row r="10" spans="1:130" ht="34.5" customHeight="1" x14ac:dyDescent="0.3">
      <c r="A10" s="54" t="s">
        <v>33</v>
      </c>
      <c r="B10" s="47"/>
      <c r="C10" s="48"/>
      <c r="D10" s="48"/>
      <c r="E10" s="50">
        <f t="shared" si="3"/>
        <v>0</v>
      </c>
      <c r="F10" s="47"/>
      <c r="G10" s="48"/>
      <c r="H10" s="48"/>
      <c r="I10" s="50">
        <f t="shared" si="0"/>
        <v>0</v>
      </c>
      <c r="J10" s="47">
        <v>25468</v>
      </c>
      <c r="K10" s="48">
        <v>25468</v>
      </c>
      <c r="L10" s="48"/>
      <c r="M10" s="50">
        <f t="shared" si="4"/>
        <v>0</v>
      </c>
      <c r="N10" s="47">
        <v>12725</v>
      </c>
      <c r="O10" s="48">
        <f>10953.79+60+1711.21</f>
        <v>12725</v>
      </c>
      <c r="P10" s="48"/>
      <c r="Q10" s="50">
        <f t="shared" si="5"/>
        <v>0</v>
      </c>
      <c r="R10" s="47"/>
      <c r="S10" s="48"/>
      <c r="T10" s="48"/>
      <c r="U10" s="50">
        <f t="shared" si="6"/>
        <v>0</v>
      </c>
      <c r="V10" s="47"/>
      <c r="W10" s="48"/>
      <c r="X10" s="48"/>
      <c r="Y10" s="50">
        <f t="shared" si="7"/>
        <v>0</v>
      </c>
      <c r="Z10" s="51">
        <f t="shared" si="1"/>
        <v>38193</v>
      </c>
      <c r="AA10" s="52">
        <f t="shared" si="8"/>
        <v>38193</v>
      </c>
      <c r="AB10" s="53">
        <f t="shared" si="2"/>
        <v>0</v>
      </c>
      <c r="AC10" s="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</row>
    <row r="11" spans="1:130" ht="20" customHeight="1" x14ac:dyDescent="0.3">
      <c r="A11" s="46" t="s">
        <v>9</v>
      </c>
      <c r="B11" s="47"/>
      <c r="C11" s="48"/>
      <c r="D11" s="48"/>
      <c r="E11" s="50">
        <f t="shared" si="3"/>
        <v>0</v>
      </c>
      <c r="F11" s="47"/>
      <c r="G11" s="48"/>
      <c r="H11" s="48"/>
      <c r="I11" s="50">
        <f t="shared" si="0"/>
        <v>0</v>
      </c>
      <c r="J11" s="47"/>
      <c r="K11" s="48"/>
      <c r="L11" s="48"/>
      <c r="M11" s="50">
        <f t="shared" si="4"/>
        <v>0</v>
      </c>
      <c r="N11" s="47"/>
      <c r="O11" s="48"/>
      <c r="P11" s="48"/>
      <c r="Q11" s="50">
        <f t="shared" si="5"/>
        <v>0</v>
      </c>
      <c r="R11" s="47"/>
      <c r="S11" s="48"/>
      <c r="T11" s="48"/>
      <c r="U11" s="50">
        <f t="shared" si="6"/>
        <v>0</v>
      </c>
      <c r="V11" s="47"/>
      <c r="W11" s="48"/>
      <c r="X11" s="48"/>
      <c r="Y11" s="50">
        <f t="shared" si="7"/>
        <v>0</v>
      </c>
      <c r="Z11" s="51">
        <f t="shared" si="1"/>
        <v>0</v>
      </c>
      <c r="AA11" s="52">
        <f t="shared" si="8"/>
        <v>0</v>
      </c>
      <c r="AB11" s="53">
        <f t="shared" si="2"/>
        <v>0</v>
      </c>
      <c r="AC11" s="12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</row>
    <row r="12" spans="1:130" ht="20" customHeight="1" x14ac:dyDescent="0.3">
      <c r="A12" s="55" t="s">
        <v>21</v>
      </c>
      <c r="B12" s="47"/>
      <c r="C12" s="48"/>
      <c r="D12" s="48"/>
      <c r="E12" s="50">
        <f t="shared" si="3"/>
        <v>0</v>
      </c>
      <c r="F12" s="47"/>
      <c r="G12" s="48"/>
      <c r="H12" s="48"/>
      <c r="I12" s="50">
        <f t="shared" si="0"/>
        <v>0</v>
      </c>
      <c r="J12" s="47">
        <v>5000</v>
      </c>
      <c r="K12" s="48">
        <v>5000</v>
      </c>
      <c r="L12" s="48"/>
      <c r="M12" s="50">
        <f t="shared" si="4"/>
        <v>0</v>
      </c>
      <c r="N12" s="47">
        <v>5000</v>
      </c>
      <c r="O12" s="48">
        <v>5000</v>
      </c>
      <c r="P12" s="48"/>
      <c r="Q12" s="50">
        <f t="shared" si="5"/>
        <v>0</v>
      </c>
      <c r="R12" s="47"/>
      <c r="S12" s="48"/>
      <c r="T12" s="48"/>
      <c r="U12" s="50">
        <f t="shared" si="6"/>
        <v>0</v>
      </c>
      <c r="V12" s="47"/>
      <c r="W12" s="48"/>
      <c r="X12" s="48"/>
      <c r="Y12" s="50">
        <f t="shared" si="7"/>
        <v>0</v>
      </c>
      <c r="Z12" s="51">
        <f t="shared" si="1"/>
        <v>10000</v>
      </c>
      <c r="AA12" s="52">
        <f t="shared" si="8"/>
        <v>10000</v>
      </c>
      <c r="AB12" s="53">
        <f t="shared" si="2"/>
        <v>0</v>
      </c>
      <c r="AC12" s="12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</row>
    <row r="13" spans="1:130" ht="20" customHeight="1" x14ac:dyDescent="0.3">
      <c r="A13" s="46"/>
      <c r="B13" s="47"/>
      <c r="C13" s="48"/>
      <c r="D13" s="48"/>
      <c r="E13" s="50">
        <f t="shared" si="3"/>
        <v>0</v>
      </c>
      <c r="F13" s="47"/>
      <c r="G13" s="48"/>
      <c r="H13" s="48"/>
      <c r="I13" s="50">
        <f t="shared" si="0"/>
        <v>0</v>
      </c>
      <c r="J13" s="47"/>
      <c r="K13" s="48"/>
      <c r="L13" s="48"/>
      <c r="M13" s="50">
        <f t="shared" si="4"/>
        <v>0</v>
      </c>
      <c r="N13" s="47"/>
      <c r="O13" s="48"/>
      <c r="P13" s="48"/>
      <c r="Q13" s="50">
        <f t="shared" si="5"/>
        <v>0</v>
      </c>
      <c r="R13" s="47"/>
      <c r="S13" s="48"/>
      <c r="T13" s="48"/>
      <c r="U13" s="50">
        <f t="shared" si="6"/>
        <v>0</v>
      </c>
      <c r="V13" s="47"/>
      <c r="W13" s="48"/>
      <c r="X13" s="48"/>
      <c r="Y13" s="50">
        <f t="shared" si="7"/>
        <v>0</v>
      </c>
      <c r="Z13" s="51">
        <f t="shared" si="1"/>
        <v>0</v>
      </c>
      <c r="AA13" s="52">
        <f t="shared" si="8"/>
        <v>0</v>
      </c>
      <c r="AB13" s="53">
        <f t="shared" si="2"/>
        <v>0</v>
      </c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</row>
    <row r="14" spans="1:130" ht="20" customHeight="1" x14ac:dyDescent="0.3">
      <c r="A14" s="46"/>
      <c r="B14" s="47"/>
      <c r="C14" s="48"/>
      <c r="D14" s="48"/>
      <c r="E14" s="50">
        <f t="shared" si="3"/>
        <v>0</v>
      </c>
      <c r="F14" s="47"/>
      <c r="G14" s="48"/>
      <c r="H14" s="48"/>
      <c r="I14" s="50">
        <f t="shared" si="0"/>
        <v>0</v>
      </c>
      <c r="J14" s="47"/>
      <c r="K14" s="48"/>
      <c r="L14" s="48"/>
      <c r="M14" s="50">
        <f t="shared" si="4"/>
        <v>0</v>
      </c>
      <c r="N14" s="47"/>
      <c r="O14" s="48"/>
      <c r="P14" s="48"/>
      <c r="Q14" s="50">
        <f t="shared" si="5"/>
        <v>0</v>
      </c>
      <c r="R14" s="47"/>
      <c r="S14" s="48"/>
      <c r="T14" s="48"/>
      <c r="U14" s="50">
        <f t="shared" si="6"/>
        <v>0</v>
      </c>
      <c r="V14" s="47"/>
      <c r="W14" s="48"/>
      <c r="X14" s="48"/>
      <c r="Y14" s="50">
        <f t="shared" si="7"/>
        <v>0</v>
      </c>
      <c r="Z14" s="51">
        <f t="shared" si="1"/>
        <v>0</v>
      </c>
      <c r="AA14" s="52">
        <f t="shared" si="8"/>
        <v>0</v>
      </c>
      <c r="AB14" s="53">
        <f t="shared" si="2"/>
        <v>0</v>
      </c>
      <c r="AC14" s="1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</row>
    <row r="15" spans="1:130" ht="20" customHeight="1" x14ac:dyDescent="0.3">
      <c r="A15" s="46"/>
      <c r="B15" s="47"/>
      <c r="C15" s="48"/>
      <c r="D15" s="48"/>
      <c r="E15" s="50">
        <f t="shared" si="3"/>
        <v>0</v>
      </c>
      <c r="F15" s="47"/>
      <c r="G15" s="48"/>
      <c r="H15" s="48"/>
      <c r="I15" s="50">
        <f t="shared" si="0"/>
        <v>0</v>
      </c>
      <c r="J15" s="47"/>
      <c r="K15" s="48"/>
      <c r="L15" s="48"/>
      <c r="M15" s="50">
        <f t="shared" si="4"/>
        <v>0</v>
      </c>
      <c r="N15" s="47"/>
      <c r="O15" s="48"/>
      <c r="P15" s="48"/>
      <c r="Q15" s="50">
        <f t="shared" si="5"/>
        <v>0</v>
      </c>
      <c r="R15" s="47"/>
      <c r="S15" s="48"/>
      <c r="T15" s="48"/>
      <c r="U15" s="50">
        <f t="shared" si="6"/>
        <v>0</v>
      </c>
      <c r="V15" s="47"/>
      <c r="W15" s="48"/>
      <c r="X15" s="48"/>
      <c r="Y15" s="50">
        <f t="shared" si="7"/>
        <v>0</v>
      </c>
      <c r="Z15" s="51">
        <f t="shared" si="1"/>
        <v>0</v>
      </c>
      <c r="AA15" s="52">
        <f t="shared" si="8"/>
        <v>0</v>
      </c>
      <c r="AB15" s="53">
        <f t="shared" si="2"/>
        <v>0</v>
      </c>
      <c r="AC15" s="12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</row>
    <row r="16" spans="1:130" ht="20" customHeight="1" x14ac:dyDescent="0.3">
      <c r="A16" s="46"/>
      <c r="B16" s="47"/>
      <c r="C16" s="48"/>
      <c r="D16" s="48"/>
      <c r="E16" s="50">
        <f t="shared" si="3"/>
        <v>0</v>
      </c>
      <c r="F16" s="47"/>
      <c r="G16" s="48"/>
      <c r="H16" s="48"/>
      <c r="I16" s="50">
        <f t="shared" si="0"/>
        <v>0</v>
      </c>
      <c r="J16" s="47"/>
      <c r="K16" s="48"/>
      <c r="L16" s="48"/>
      <c r="M16" s="50">
        <f t="shared" si="4"/>
        <v>0</v>
      </c>
      <c r="N16" s="47"/>
      <c r="O16" s="48"/>
      <c r="P16" s="48"/>
      <c r="Q16" s="50">
        <f t="shared" si="5"/>
        <v>0</v>
      </c>
      <c r="R16" s="47"/>
      <c r="S16" s="48"/>
      <c r="T16" s="48"/>
      <c r="U16" s="50">
        <f t="shared" si="6"/>
        <v>0</v>
      </c>
      <c r="V16" s="47"/>
      <c r="W16" s="48"/>
      <c r="X16" s="48"/>
      <c r="Y16" s="50">
        <f t="shared" si="7"/>
        <v>0</v>
      </c>
      <c r="Z16" s="51">
        <f t="shared" si="1"/>
        <v>0</v>
      </c>
      <c r="AA16" s="52">
        <f t="shared" si="8"/>
        <v>0</v>
      </c>
      <c r="AB16" s="53">
        <f t="shared" si="2"/>
        <v>0</v>
      </c>
      <c r="AC16" s="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</row>
    <row r="17" spans="1:130" ht="20" customHeight="1" x14ac:dyDescent="0.3">
      <c r="A17" s="46"/>
      <c r="B17" s="47"/>
      <c r="C17" s="48"/>
      <c r="D17" s="48"/>
      <c r="E17" s="50">
        <f t="shared" si="3"/>
        <v>0</v>
      </c>
      <c r="F17" s="47"/>
      <c r="G17" s="48"/>
      <c r="H17" s="48"/>
      <c r="I17" s="50">
        <f t="shared" si="0"/>
        <v>0</v>
      </c>
      <c r="J17" s="47"/>
      <c r="K17" s="48"/>
      <c r="L17" s="48"/>
      <c r="M17" s="50">
        <f t="shared" si="4"/>
        <v>0</v>
      </c>
      <c r="N17" s="47"/>
      <c r="O17" s="48"/>
      <c r="P17" s="48"/>
      <c r="Q17" s="50">
        <f t="shared" si="5"/>
        <v>0</v>
      </c>
      <c r="R17" s="47"/>
      <c r="S17" s="48"/>
      <c r="T17" s="48"/>
      <c r="U17" s="50">
        <f t="shared" si="6"/>
        <v>0</v>
      </c>
      <c r="V17" s="47"/>
      <c r="W17" s="48"/>
      <c r="X17" s="48"/>
      <c r="Y17" s="50">
        <f t="shared" si="7"/>
        <v>0</v>
      </c>
      <c r="Z17" s="51">
        <f t="shared" si="1"/>
        <v>0</v>
      </c>
      <c r="AA17" s="52">
        <f t="shared" si="8"/>
        <v>0</v>
      </c>
      <c r="AB17" s="53">
        <f t="shared" si="2"/>
        <v>0</v>
      </c>
      <c r="AC17" s="12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</row>
    <row r="18" spans="1:130" ht="20" customHeight="1" x14ac:dyDescent="0.3">
      <c r="A18" s="46" t="s">
        <v>31</v>
      </c>
      <c r="B18" s="47"/>
      <c r="C18" s="48"/>
      <c r="D18" s="48"/>
      <c r="E18" s="50">
        <f t="shared" si="3"/>
        <v>0</v>
      </c>
      <c r="F18" s="47"/>
      <c r="G18" s="48"/>
      <c r="H18" s="48"/>
      <c r="I18" s="50">
        <f t="shared" si="0"/>
        <v>0</v>
      </c>
      <c r="J18" s="47"/>
      <c r="K18" s="48"/>
      <c r="L18" s="48"/>
      <c r="M18" s="50">
        <f t="shared" si="4"/>
        <v>0</v>
      </c>
      <c r="N18" s="47">
        <v>538.21</v>
      </c>
      <c r="O18" s="48">
        <v>538.21</v>
      </c>
      <c r="P18" s="48"/>
      <c r="Q18" s="50">
        <f t="shared" si="5"/>
        <v>0</v>
      </c>
      <c r="R18" s="47"/>
      <c r="S18" s="48"/>
      <c r="T18" s="48"/>
      <c r="U18" s="50">
        <f t="shared" si="6"/>
        <v>0</v>
      </c>
      <c r="V18" s="47"/>
      <c r="W18" s="48"/>
      <c r="X18" s="48"/>
      <c r="Y18" s="50">
        <f t="shared" si="7"/>
        <v>0</v>
      </c>
      <c r="Z18" s="51">
        <f t="shared" si="1"/>
        <v>538.21</v>
      </c>
      <c r="AA18" s="52">
        <f t="shared" si="8"/>
        <v>538.21</v>
      </c>
      <c r="AB18" s="53">
        <f t="shared" si="2"/>
        <v>0</v>
      </c>
      <c r="AC18" s="12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</row>
    <row r="19" spans="1:130" s="1" customFormat="1" ht="24" customHeight="1" x14ac:dyDescent="0.3">
      <c r="A19" s="56" t="s">
        <v>18</v>
      </c>
      <c r="B19" s="57">
        <f>SUM(B4:B18)</f>
        <v>1211.33</v>
      </c>
      <c r="C19" s="58">
        <f t="shared" ref="C19:D19" si="9">SUM(C4:C18)</f>
        <v>1211.33</v>
      </c>
      <c r="D19" s="59">
        <f t="shared" si="9"/>
        <v>0</v>
      </c>
      <c r="E19" s="60">
        <f t="shared" si="3"/>
        <v>0</v>
      </c>
      <c r="F19" s="57">
        <f>SUM(F4:F18)</f>
        <v>281.33999999999997</v>
      </c>
      <c r="G19" s="58">
        <f t="shared" ref="G19" si="10">SUM(G4:G18)</f>
        <v>281.33999999999997</v>
      </c>
      <c r="H19" s="59">
        <f>SUM(H4:H18)</f>
        <v>0</v>
      </c>
      <c r="I19" s="60">
        <f t="shared" si="0"/>
        <v>0</v>
      </c>
      <c r="J19" s="57">
        <f>SUM(J4:J18)</f>
        <v>40689</v>
      </c>
      <c r="K19" s="58">
        <f t="shared" ref="K19:L19" si="11">SUM(K4:K18)</f>
        <v>40689</v>
      </c>
      <c r="L19" s="59">
        <f t="shared" si="11"/>
        <v>0</v>
      </c>
      <c r="M19" s="60">
        <f t="shared" si="4"/>
        <v>0</v>
      </c>
      <c r="N19" s="57">
        <f>SUM(N4:N18)</f>
        <v>42712.21</v>
      </c>
      <c r="O19" s="58">
        <f t="shared" ref="O19:P19" si="12">SUM(O4:O18)</f>
        <v>42712.21</v>
      </c>
      <c r="P19" s="59">
        <f t="shared" si="12"/>
        <v>0</v>
      </c>
      <c r="Q19" s="60">
        <f t="shared" si="5"/>
        <v>0</v>
      </c>
      <c r="R19" s="57">
        <f>SUM(R4:R18)</f>
        <v>0</v>
      </c>
      <c r="S19" s="58">
        <f t="shared" ref="S19:T19" si="13">SUM(S4:S18)</f>
        <v>0</v>
      </c>
      <c r="T19" s="59">
        <f t="shared" si="13"/>
        <v>0</v>
      </c>
      <c r="U19" s="60">
        <f t="shared" si="6"/>
        <v>0</v>
      </c>
      <c r="V19" s="57">
        <f>SUM(V4:V18)</f>
        <v>0</v>
      </c>
      <c r="W19" s="58">
        <f t="shared" ref="W19:X19" si="14">SUM(W4:W18)</f>
        <v>0</v>
      </c>
      <c r="X19" s="59">
        <f t="shared" si="14"/>
        <v>0</v>
      </c>
      <c r="Y19" s="60">
        <f t="shared" si="7"/>
        <v>0</v>
      </c>
      <c r="Z19" s="61">
        <f>SUM(Z4:Z18)</f>
        <v>84893.88</v>
      </c>
      <c r="AA19" s="62">
        <f>SUM(AA4:AA18)</f>
        <v>84893.88</v>
      </c>
      <c r="AB19" s="53">
        <f t="shared" si="2"/>
        <v>0</v>
      </c>
      <c r="AC19" s="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</row>
    <row r="20" spans="1:130" s="3" customFormat="1" ht="25.5" customHeight="1" x14ac:dyDescent="0.3">
      <c r="A20" s="63" t="s">
        <v>10</v>
      </c>
      <c r="B20" s="64"/>
      <c r="C20" s="65"/>
      <c r="D20" s="65"/>
      <c r="E20" s="66"/>
      <c r="F20" s="64"/>
      <c r="G20" s="65"/>
      <c r="H20" s="65"/>
      <c r="I20" s="66"/>
      <c r="J20" s="64"/>
      <c r="K20" s="65"/>
      <c r="L20" s="65"/>
      <c r="M20" s="66"/>
      <c r="N20" s="64"/>
      <c r="O20" s="65"/>
      <c r="P20" s="65"/>
      <c r="Q20" s="66"/>
      <c r="R20" s="64"/>
      <c r="S20" s="65"/>
      <c r="T20" s="65"/>
      <c r="U20" s="66"/>
      <c r="V20" s="64"/>
      <c r="W20" s="65"/>
      <c r="X20" s="65"/>
      <c r="Y20" s="66"/>
      <c r="Z20" s="65"/>
      <c r="AA20" s="67"/>
      <c r="AB20" s="53">
        <f t="shared" si="2"/>
        <v>0</v>
      </c>
      <c r="AC20" s="12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</row>
    <row r="21" spans="1:130" ht="20" customHeight="1" x14ac:dyDescent="0.3">
      <c r="A21" s="46" t="s">
        <v>39</v>
      </c>
      <c r="B21" s="47"/>
      <c r="C21" s="48"/>
      <c r="D21" s="48"/>
      <c r="E21" s="49">
        <f t="shared" ref="E21:E32" si="15">B21-C21-D21</f>
        <v>0</v>
      </c>
      <c r="F21" s="47"/>
      <c r="G21" s="48"/>
      <c r="H21" s="48"/>
      <c r="I21" s="49">
        <f t="shared" si="0"/>
        <v>0</v>
      </c>
      <c r="J21" s="47"/>
      <c r="K21" s="48"/>
      <c r="L21" s="48"/>
      <c r="M21" s="49">
        <f t="shared" ref="M21:M32" si="16">J21-K21-L21</f>
        <v>0</v>
      </c>
      <c r="N21" s="47">
        <v>9405</v>
      </c>
      <c r="O21" s="48">
        <v>9405</v>
      </c>
      <c r="P21" s="48"/>
      <c r="Q21" s="49">
        <f t="shared" ref="Q21:Q32" si="17">N21-O21-P21</f>
        <v>0</v>
      </c>
      <c r="R21" s="47"/>
      <c r="S21" s="48"/>
      <c r="T21" s="48"/>
      <c r="U21" s="49">
        <f t="shared" ref="U21:U32" si="18">R21-S21-T21</f>
        <v>0</v>
      </c>
      <c r="V21" s="47"/>
      <c r="W21" s="48"/>
      <c r="X21" s="48"/>
      <c r="Y21" s="49">
        <f t="shared" ref="Y21:Y32" si="19">V21-W21-X21</f>
        <v>0</v>
      </c>
      <c r="Z21" s="51">
        <f>B21+F21+J21+N21+R21+V21</f>
        <v>9405</v>
      </c>
      <c r="AA21" s="52">
        <f t="shared" ref="AA21:AA24" si="20">C21+D21+G21+H21+K21+L21+O21+P21+S21+T21+W21+X21</f>
        <v>9405</v>
      </c>
      <c r="AB21" s="53">
        <f t="shared" si="2"/>
        <v>0</v>
      </c>
      <c r="AC21" s="12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</row>
    <row r="22" spans="1:130" ht="20" customHeight="1" x14ac:dyDescent="0.3">
      <c r="A22" s="46" t="s">
        <v>25</v>
      </c>
      <c r="B22" s="47"/>
      <c r="C22" s="48"/>
      <c r="D22" s="48"/>
      <c r="E22" s="50">
        <f t="shared" si="15"/>
        <v>0</v>
      </c>
      <c r="F22" s="47"/>
      <c r="G22" s="48"/>
      <c r="H22" s="48"/>
      <c r="I22" s="50">
        <f t="shared" si="0"/>
        <v>0</v>
      </c>
      <c r="J22" s="47">
        <f>26615-1899</f>
        <v>24716</v>
      </c>
      <c r="K22" s="48">
        <f>13399+7770+3266+242+39</f>
        <v>24716</v>
      </c>
      <c r="L22" s="48"/>
      <c r="M22" s="50">
        <f t="shared" si="16"/>
        <v>0</v>
      </c>
      <c r="N22" s="47">
        <f>120985+462</f>
        <v>121447</v>
      </c>
      <c r="O22" s="48">
        <f>120985+462</f>
        <v>121447</v>
      </c>
      <c r="P22" s="48"/>
      <c r="Q22" s="50">
        <f t="shared" si="17"/>
        <v>0</v>
      </c>
      <c r="R22" s="47"/>
      <c r="S22" s="48"/>
      <c r="T22" s="48"/>
      <c r="U22" s="50">
        <f t="shared" si="18"/>
        <v>0</v>
      </c>
      <c r="V22" s="47"/>
      <c r="W22" s="48"/>
      <c r="X22" s="48"/>
      <c r="Y22" s="50">
        <f t="shared" si="19"/>
        <v>0</v>
      </c>
      <c r="Z22" s="51">
        <f t="shared" ref="Z22:Z30" si="21">B22+F22+J22+N22+R22+V22</f>
        <v>146163</v>
      </c>
      <c r="AA22" s="52">
        <f t="shared" si="20"/>
        <v>146163</v>
      </c>
      <c r="AB22" s="53">
        <f t="shared" si="2"/>
        <v>0</v>
      </c>
      <c r="AC22" s="11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</row>
    <row r="23" spans="1:130" ht="20" customHeight="1" x14ac:dyDescent="0.3">
      <c r="A23" s="46" t="s">
        <v>26</v>
      </c>
      <c r="B23" s="47"/>
      <c r="C23" s="48"/>
      <c r="D23" s="48"/>
      <c r="E23" s="50">
        <f t="shared" si="15"/>
        <v>0</v>
      </c>
      <c r="F23" s="47"/>
      <c r="G23" s="48"/>
      <c r="H23" s="48"/>
      <c r="I23" s="50">
        <f t="shared" si="0"/>
        <v>0</v>
      </c>
      <c r="J23" s="47">
        <f>142000-1199</f>
        <v>140801</v>
      </c>
      <c r="K23" s="30">
        <f>7839+28920+39675+30533+32826+1008</f>
        <v>140801</v>
      </c>
      <c r="L23" s="48"/>
      <c r="M23" s="50">
        <f t="shared" si="16"/>
        <v>0</v>
      </c>
      <c r="N23" s="47">
        <f>3650-831</f>
        <v>2819</v>
      </c>
      <c r="O23" s="48">
        <f>2819</f>
        <v>2819</v>
      </c>
      <c r="P23" s="48"/>
      <c r="Q23" s="50">
        <f t="shared" si="17"/>
        <v>0</v>
      </c>
      <c r="R23" s="47">
        <f>47050+2227.57</f>
        <v>49277.57</v>
      </c>
      <c r="S23" s="48">
        <f>31516.03+14444.54+3317</f>
        <v>49277.57</v>
      </c>
      <c r="T23" s="48"/>
      <c r="U23" s="50">
        <f t="shared" si="18"/>
        <v>0</v>
      </c>
      <c r="V23" s="47"/>
      <c r="W23" s="48"/>
      <c r="X23" s="48"/>
      <c r="Y23" s="50">
        <f t="shared" si="19"/>
        <v>0</v>
      </c>
      <c r="Z23" s="51">
        <f t="shared" si="21"/>
        <v>192897.57</v>
      </c>
      <c r="AA23" s="52">
        <f t="shared" si="20"/>
        <v>192897.57</v>
      </c>
      <c r="AB23" s="53">
        <f t="shared" si="2"/>
        <v>0</v>
      </c>
      <c r="AC23" s="18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</row>
    <row r="24" spans="1:130" ht="20" customHeight="1" x14ac:dyDescent="0.3">
      <c r="A24" s="46" t="s">
        <v>22</v>
      </c>
      <c r="B24" s="47">
        <f>747500+551.4+500+237.27</f>
        <v>748788.67</v>
      </c>
      <c r="C24" s="30">
        <f>153536.7+40232.42+470+237363.82+249342.09+30773.98+37069.66</f>
        <v>748788.67</v>
      </c>
      <c r="D24" s="48"/>
      <c r="E24" s="50">
        <f t="shared" si="15"/>
        <v>0</v>
      </c>
      <c r="F24" s="47">
        <f>447500+2000+218.66</f>
        <v>449718.66</v>
      </c>
      <c r="G24" s="30">
        <f>170436.18+200556.04+69726.44+9000</f>
        <v>449718.66</v>
      </c>
      <c r="H24" s="48"/>
      <c r="I24" s="50">
        <f t="shared" si="0"/>
        <v>0</v>
      </c>
      <c r="J24" s="47">
        <f>138024-25468+565.25+40344.75+1056+1899+1199</f>
        <v>157620</v>
      </c>
      <c r="K24" s="30">
        <f>112556+565+40345+4154</f>
        <v>157620</v>
      </c>
      <c r="L24" s="48"/>
      <c r="M24" s="50">
        <f t="shared" si="16"/>
        <v>0</v>
      </c>
      <c r="N24" s="47">
        <f>21821+25468-40344.75+76577.75+4833.5+831+56728.79</f>
        <v>145915.29</v>
      </c>
      <c r="O24" s="48">
        <f>83522+62393.29</f>
        <v>145915.29</v>
      </c>
      <c r="P24" s="48"/>
      <c r="Q24" s="50">
        <f t="shared" si="17"/>
        <v>0</v>
      </c>
      <c r="R24" s="8">
        <f>104250+71300-47050-2227.57</f>
        <v>126272.43</v>
      </c>
      <c r="S24" s="30">
        <f>104250+1408.49+20613.94</f>
        <v>126272.43000000001</v>
      </c>
      <c r="T24" s="48"/>
      <c r="U24" s="50">
        <f t="shared" si="18"/>
        <v>-1.4551915228366852E-11</v>
      </c>
      <c r="V24" s="47">
        <v>6765.88</v>
      </c>
      <c r="W24" s="47">
        <v>6765.88</v>
      </c>
      <c r="X24" s="48"/>
      <c r="Y24" s="50">
        <f t="shared" si="19"/>
        <v>0</v>
      </c>
      <c r="Z24" s="51">
        <f t="shared" si="21"/>
        <v>1635080.93</v>
      </c>
      <c r="AA24" s="52">
        <f t="shared" si="20"/>
        <v>1635080.93</v>
      </c>
      <c r="AB24" s="53">
        <f t="shared" si="2"/>
        <v>0</v>
      </c>
      <c r="AC24" s="4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</row>
    <row r="25" spans="1:130" ht="20" customHeight="1" x14ac:dyDescent="0.3">
      <c r="A25" s="46" t="s">
        <v>30</v>
      </c>
      <c r="B25" s="47"/>
      <c r="C25" s="48"/>
      <c r="D25" s="48"/>
      <c r="E25" s="50">
        <f t="shared" si="15"/>
        <v>0</v>
      </c>
      <c r="F25" s="47"/>
      <c r="G25" s="48"/>
      <c r="H25" s="48"/>
      <c r="I25" s="50">
        <f t="shared" si="0"/>
        <v>0</v>
      </c>
      <c r="J25" s="47"/>
      <c r="K25" s="48"/>
      <c r="L25" s="48"/>
      <c r="M25" s="50">
        <f t="shared" si="16"/>
        <v>0</v>
      </c>
      <c r="N25" s="47">
        <f>45250+3166.5</f>
        <v>48416.5</v>
      </c>
      <c r="O25" s="48">
        <f>20117+220+530</f>
        <v>20867</v>
      </c>
      <c r="P25" s="30">
        <f>26882+667.5</f>
        <v>27549.5</v>
      </c>
      <c r="Q25" s="50">
        <f t="shared" si="17"/>
        <v>0</v>
      </c>
      <c r="R25" s="47">
        <f>135750-71300</f>
        <v>64450</v>
      </c>
      <c r="S25" s="48">
        <f>60350.44+661.25+1587.81+0.1</f>
        <v>62599.6</v>
      </c>
      <c r="T25" s="48">
        <v>1850.4</v>
      </c>
      <c r="U25" s="50">
        <f t="shared" si="18"/>
        <v>0</v>
      </c>
      <c r="V25" s="47"/>
      <c r="W25" s="48"/>
      <c r="X25" s="48"/>
      <c r="Y25" s="50">
        <f t="shared" si="19"/>
        <v>0</v>
      </c>
      <c r="Z25" s="51">
        <f>B25+F25+J25+N25+R25+V25</f>
        <v>112866.5</v>
      </c>
      <c r="AA25" s="52">
        <f>C25+D25+G25+H25+K25+L25+O25+P25+S25+T25+W25+X25</f>
        <v>112866.5</v>
      </c>
      <c r="AB25" s="53">
        <f>Z25-AA25</f>
        <v>0</v>
      </c>
      <c r="AC25" s="4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</row>
    <row r="26" spans="1:130" ht="20" customHeight="1" x14ac:dyDescent="0.3">
      <c r="A26" s="46" t="s">
        <v>34</v>
      </c>
      <c r="B26" s="47"/>
      <c r="C26" s="48"/>
      <c r="D26" s="48"/>
      <c r="E26" s="50">
        <f t="shared" si="15"/>
        <v>0</v>
      </c>
      <c r="F26" s="47"/>
      <c r="G26" s="48"/>
      <c r="H26" s="48"/>
      <c r="I26" s="50">
        <f t="shared" si="0"/>
        <v>0</v>
      </c>
      <c r="J26" s="47">
        <f>28674</f>
        <v>28674</v>
      </c>
      <c r="K26" s="48">
        <v>28674</v>
      </c>
      <c r="L26" s="48"/>
      <c r="M26" s="50">
        <f t="shared" si="16"/>
        <v>0</v>
      </c>
      <c r="N26" s="47"/>
      <c r="O26" s="48"/>
      <c r="P26" s="48"/>
      <c r="Q26" s="50">
        <f t="shared" si="17"/>
        <v>0</v>
      </c>
      <c r="R26" s="47"/>
      <c r="S26" s="48"/>
      <c r="T26" s="48"/>
      <c r="U26" s="50">
        <f t="shared" si="18"/>
        <v>0</v>
      </c>
      <c r="V26" s="47"/>
      <c r="W26" s="48"/>
      <c r="X26" s="48"/>
      <c r="Y26" s="50">
        <f t="shared" si="19"/>
        <v>0</v>
      </c>
      <c r="Z26" s="51">
        <f>B26+F26+J26+N26+R26+V26</f>
        <v>28674</v>
      </c>
      <c r="AA26" s="52">
        <f t="shared" ref="AA26:AA30" si="22">C26+D26+G26+H26+K26+L26+O26+P26+S26+T26+W26+X26</f>
        <v>28674</v>
      </c>
      <c r="AB26" s="53">
        <f t="shared" si="2"/>
        <v>0</v>
      </c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</row>
    <row r="27" spans="1:130" ht="20" customHeight="1" x14ac:dyDescent="0.3">
      <c r="A27" s="46" t="s">
        <v>40</v>
      </c>
      <c r="B27" s="47"/>
      <c r="C27" s="48"/>
      <c r="D27" s="48"/>
      <c r="E27" s="50">
        <f t="shared" si="15"/>
        <v>0</v>
      </c>
      <c r="F27" s="47"/>
      <c r="G27" s="48"/>
      <c r="H27" s="48"/>
      <c r="I27" s="50">
        <f t="shared" si="0"/>
        <v>0</v>
      </c>
      <c r="J27" s="47"/>
      <c r="K27" s="48"/>
      <c r="L27" s="48"/>
      <c r="M27" s="50">
        <f t="shared" si="16"/>
        <v>0</v>
      </c>
      <c r="N27" s="47">
        <f>4325+7375</f>
        <v>11700</v>
      </c>
      <c r="O27" s="48">
        <v>11700</v>
      </c>
      <c r="P27" s="48"/>
      <c r="Q27" s="50">
        <f t="shared" si="17"/>
        <v>0</v>
      </c>
      <c r="R27" s="47"/>
      <c r="S27" s="48"/>
      <c r="T27" s="48"/>
      <c r="U27" s="50">
        <f t="shared" si="18"/>
        <v>0</v>
      </c>
      <c r="V27" s="47"/>
      <c r="W27" s="48"/>
      <c r="X27" s="48"/>
      <c r="Y27" s="50">
        <f t="shared" si="19"/>
        <v>0</v>
      </c>
      <c r="Z27" s="51">
        <f t="shared" si="21"/>
        <v>11700</v>
      </c>
      <c r="AA27" s="52">
        <f t="shared" si="22"/>
        <v>11700</v>
      </c>
      <c r="AB27" s="53">
        <f t="shared" si="2"/>
        <v>0</v>
      </c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</row>
    <row r="28" spans="1:130" ht="20" customHeight="1" x14ac:dyDescent="0.3">
      <c r="A28" s="46" t="s">
        <v>12</v>
      </c>
      <c r="B28" s="47"/>
      <c r="C28" s="48"/>
      <c r="D28" s="48"/>
      <c r="E28" s="50">
        <f t="shared" ref="E28" si="23">B28-C28-D28</f>
        <v>0</v>
      </c>
      <c r="F28" s="47"/>
      <c r="G28" s="48"/>
      <c r="H28" s="48"/>
      <c r="I28" s="50">
        <f t="shared" ref="I28" si="24">F28-G28-H28</f>
        <v>0</v>
      </c>
      <c r="J28" s="47"/>
      <c r="K28" s="48"/>
      <c r="L28" s="48"/>
      <c r="M28" s="50">
        <f t="shared" ref="M28" si="25">J28-K28-L28</f>
        <v>0</v>
      </c>
      <c r="N28" s="47">
        <f>128989.79+40344.75-76577.75-462-9405-4325-7375-3650-9281-726-804-3961-52767.79</f>
        <v>0</v>
      </c>
      <c r="O28" s="48"/>
      <c r="P28" s="48"/>
      <c r="Q28" s="50">
        <f t="shared" ref="Q28" si="26">N28-O28-P28</f>
        <v>0</v>
      </c>
      <c r="R28" s="47"/>
      <c r="S28" s="48"/>
      <c r="T28" s="48"/>
      <c r="U28" s="50">
        <f t="shared" si="18"/>
        <v>0</v>
      </c>
      <c r="V28" s="47"/>
      <c r="W28" s="48"/>
      <c r="X28" s="48"/>
      <c r="Y28" s="50">
        <f t="shared" ref="Y28" si="27">V28-W28-X28</f>
        <v>0</v>
      </c>
      <c r="Z28" s="51">
        <f t="shared" si="21"/>
        <v>0</v>
      </c>
      <c r="AA28" s="52">
        <f t="shared" si="22"/>
        <v>0</v>
      </c>
      <c r="AB28" s="53">
        <f t="shared" si="2"/>
        <v>0</v>
      </c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</row>
    <row r="29" spans="1:130" ht="20" customHeight="1" x14ac:dyDescent="0.3">
      <c r="A29" s="46" t="s">
        <v>45</v>
      </c>
      <c r="B29" s="47"/>
      <c r="C29" s="48"/>
      <c r="D29" s="48"/>
      <c r="E29" s="50">
        <f t="shared" si="15"/>
        <v>0</v>
      </c>
      <c r="F29" s="47"/>
      <c r="G29" s="48"/>
      <c r="H29" s="48"/>
      <c r="I29" s="50">
        <f t="shared" si="0"/>
        <v>0</v>
      </c>
      <c r="J29" s="47"/>
      <c r="K29" s="48"/>
      <c r="L29" s="48"/>
      <c r="M29" s="50">
        <f t="shared" si="16"/>
        <v>0</v>
      </c>
      <c r="N29" s="47">
        <f>9281+804</f>
        <v>10085</v>
      </c>
      <c r="O29" s="48">
        <f>9281+804</f>
        <v>10085</v>
      </c>
      <c r="P29" s="48"/>
      <c r="Q29" s="50">
        <f t="shared" si="17"/>
        <v>0</v>
      </c>
      <c r="R29" s="47"/>
      <c r="S29" s="48"/>
      <c r="T29" s="48"/>
      <c r="U29" s="50">
        <f t="shared" si="18"/>
        <v>0</v>
      </c>
      <c r="V29" s="47"/>
      <c r="W29" s="48"/>
      <c r="X29" s="48"/>
      <c r="Y29" s="50">
        <f t="shared" si="19"/>
        <v>0</v>
      </c>
      <c r="Z29" s="51">
        <f t="shared" si="21"/>
        <v>10085</v>
      </c>
      <c r="AA29" s="52">
        <f t="shared" si="22"/>
        <v>10085</v>
      </c>
      <c r="AB29" s="53">
        <f t="shared" si="2"/>
        <v>0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</row>
    <row r="30" spans="1:130" ht="20" customHeight="1" x14ac:dyDescent="0.3">
      <c r="A30" s="46"/>
      <c r="B30" s="47"/>
      <c r="C30" s="48"/>
      <c r="D30" s="48"/>
      <c r="E30" s="50">
        <f t="shared" si="15"/>
        <v>0</v>
      </c>
      <c r="F30" s="47"/>
      <c r="G30" s="48"/>
      <c r="H30" s="48"/>
      <c r="I30" s="50">
        <f t="shared" si="0"/>
        <v>0</v>
      </c>
      <c r="J30" s="47"/>
      <c r="K30" s="48"/>
      <c r="L30" s="48"/>
      <c r="M30" s="50">
        <f t="shared" si="16"/>
        <v>0</v>
      </c>
      <c r="N30" s="47"/>
      <c r="O30" s="48"/>
      <c r="P30" s="48"/>
      <c r="Q30" s="50">
        <f t="shared" si="17"/>
        <v>0</v>
      </c>
      <c r="R30" s="47"/>
      <c r="S30" s="48"/>
      <c r="T30" s="48"/>
      <c r="U30" s="50">
        <f t="shared" si="18"/>
        <v>0</v>
      </c>
      <c r="V30" s="47"/>
      <c r="W30" s="48"/>
      <c r="X30" s="48"/>
      <c r="Y30" s="50">
        <f t="shared" si="19"/>
        <v>0</v>
      </c>
      <c r="Z30" s="51">
        <f t="shared" si="21"/>
        <v>0</v>
      </c>
      <c r="AA30" s="52">
        <f t="shared" si="22"/>
        <v>0</v>
      </c>
      <c r="AB30" s="52">
        <f t="shared" ref="AB30" si="28">H30+I30+X30+Y30+D30+E30+P30+Q30</f>
        <v>0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</row>
    <row r="31" spans="1:130" ht="20" customHeight="1" thickBot="1" x14ac:dyDescent="0.35">
      <c r="A31" s="68" t="s">
        <v>19</v>
      </c>
      <c r="B31" s="69">
        <f>SUM(B21:B30)</f>
        <v>748788.67</v>
      </c>
      <c r="C31" s="83">
        <f>SUM(C21:C30)</f>
        <v>748788.67</v>
      </c>
      <c r="D31" s="70">
        <f>SUM(D21:D30)</f>
        <v>0</v>
      </c>
      <c r="E31" s="71">
        <f t="shared" si="15"/>
        <v>0</v>
      </c>
      <c r="F31" s="69">
        <f>SUM(F21:F30)</f>
        <v>449718.66</v>
      </c>
      <c r="G31" s="83">
        <f>SUM(G21:G30)</f>
        <v>449718.66</v>
      </c>
      <c r="H31" s="70">
        <f>SUM(H21:H30)</f>
        <v>0</v>
      </c>
      <c r="I31" s="71">
        <f t="shared" si="0"/>
        <v>0</v>
      </c>
      <c r="J31" s="69">
        <f>SUM(J21:J30)</f>
        <v>351811</v>
      </c>
      <c r="K31" s="83">
        <f>SUM(K21:K30)</f>
        <v>351811</v>
      </c>
      <c r="L31" s="70">
        <f>SUM(L21:L30)</f>
        <v>0</v>
      </c>
      <c r="M31" s="71">
        <f t="shared" si="16"/>
        <v>0</v>
      </c>
      <c r="N31" s="69">
        <f>SUM(N21:N30)</f>
        <v>349787.79000000004</v>
      </c>
      <c r="O31" s="70">
        <f>SUM(O21:O30)</f>
        <v>322238.29000000004</v>
      </c>
      <c r="P31" s="83">
        <f>SUM(P21:P30)</f>
        <v>27549.5</v>
      </c>
      <c r="Q31" s="71">
        <f t="shared" si="17"/>
        <v>0</v>
      </c>
      <c r="R31" s="82">
        <f>SUM(R21:R30)</f>
        <v>240000</v>
      </c>
      <c r="S31" s="83">
        <f>SUM(S21:S30)</f>
        <v>238149.6</v>
      </c>
      <c r="T31" s="70">
        <f>SUM(T21:T30)</f>
        <v>1850.4</v>
      </c>
      <c r="U31" s="71">
        <f t="shared" si="18"/>
        <v>-5.9117155615240335E-12</v>
      </c>
      <c r="V31" s="69">
        <f>SUM(V21:V30)</f>
        <v>6765.88</v>
      </c>
      <c r="W31" s="70">
        <f>SUM(W21:W30)</f>
        <v>6765.88</v>
      </c>
      <c r="X31" s="70">
        <f>SUM(X21:X30)</f>
        <v>0</v>
      </c>
      <c r="Y31" s="71">
        <f t="shared" si="19"/>
        <v>0</v>
      </c>
      <c r="Z31" s="51">
        <f>SUM(Z21:Z30)</f>
        <v>2146872</v>
      </c>
      <c r="AA31" s="52">
        <f>SUM(AA21:AA30)</f>
        <v>2146872</v>
      </c>
      <c r="AB31" s="53">
        <f t="shared" ref="AB31" si="29">Z31-AA31</f>
        <v>0</v>
      </c>
    </row>
    <row r="32" spans="1:130" ht="20" customHeight="1" thickTop="1" thickBot="1" x14ac:dyDescent="0.35">
      <c r="A32" s="72" t="s">
        <v>13</v>
      </c>
      <c r="B32" s="73">
        <f>B19+B31</f>
        <v>750000</v>
      </c>
      <c r="C32" s="85">
        <f>C19+C31</f>
        <v>750000</v>
      </c>
      <c r="D32" s="74">
        <f>D19+D31</f>
        <v>0</v>
      </c>
      <c r="E32" s="75">
        <f t="shared" si="15"/>
        <v>0</v>
      </c>
      <c r="F32" s="73">
        <f>F19+F31</f>
        <v>450000</v>
      </c>
      <c r="G32" s="85">
        <f>G19+G31</f>
        <v>450000</v>
      </c>
      <c r="H32" s="74">
        <f>H19+H31</f>
        <v>0</v>
      </c>
      <c r="I32" s="75">
        <f t="shared" si="0"/>
        <v>0</v>
      </c>
      <c r="J32" s="73">
        <f>J19+J31</f>
        <v>392500</v>
      </c>
      <c r="K32" s="85">
        <f>K19+K31</f>
        <v>392500</v>
      </c>
      <c r="L32" s="74">
        <f>L19+L31</f>
        <v>0</v>
      </c>
      <c r="M32" s="75">
        <f t="shared" si="16"/>
        <v>0</v>
      </c>
      <c r="N32" s="73">
        <f>N19+N31</f>
        <v>392500.00000000006</v>
      </c>
      <c r="O32" s="74">
        <f>O19+O31</f>
        <v>364950.50000000006</v>
      </c>
      <c r="P32" s="85">
        <f>P19+P31</f>
        <v>27549.5</v>
      </c>
      <c r="Q32" s="75">
        <f t="shared" si="17"/>
        <v>0</v>
      </c>
      <c r="R32" s="84">
        <f>R19+R31</f>
        <v>240000</v>
      </c>
      <c r="S32" s="85">
        <f>S19+S31</f>
        <v>238149.6</v>
      </c>
      <c r="T32" s="74">
        <f>T19+T31</f>
        <v>1850.4</v>
      </c>
      <c r="U32" s="75">
        <f t="shared" si="18"/>
        <v>-5.9117155615240335E-12</v>
      </c>
      <c r="V32" s="73">
        <f>V19+V31</f>
        <v>6765.88</v>
      </c>
      <c r="W32" s="74">
        <f>W19+W31</f>
        <v>6765.88</v>
      </c>
      <c r="X32" s="74">
        <f>X19+X31</f>
        <v>0</v>
      </c>
      <c r="Y32" s="75">
        <f t="shared" si="19"/>
        <v>0</v>
      </c>
      <c r="Z32" s="74">
        <f>Z19+Z31</f>
        <v>2231765.88</v>
      </c>
      <c r="AA32" s="74">
        <f>AA19+AA31</f>
        <v>2231765.88</v>
      </c>
      <c r="AB32" s="76">
        <f>Z32-AA32</f>
        <v>0</v>
      </c>
      <c r="AG32" s="4"/>
    </row>
    <row r="33" spans="1:29" ht="20" customHeight="1" thickTop="1" x14ac:dyDescent="0.3">
      <c r="A33" s="77" t="s">
        <v>17</v>
      </c>
      <c r="B33" s="77"/>
      <c r="C33" s="77"/>
      <c r="D33" s="77"/>
      <c r="E33" s="86">
        <f>+D32+C32</f>
        <v>750000</v>
      </c>
      <c r="F33" s="77"/>
      <c r="G33" s="77"/>
      <c r="H33" s="77"/>
      <c r="I33" s="86">
        <f>+H32+G32</f>
        <v>450000</v>
      </c>
      <c r="J33" s="77"/>
      <c r="K33" s="77"/>
      <c r="L33" s="77"/>
      <c r="M33" s="78">
        <f>+L32+K32</f>
        <v>392500</v>
      </c>
      <c r="N33" s="77"/>
      <c r="O33" s="77"/>
      <c r="P33" s="77"/>
      <c r="Q33" s="86">
        <f>+P32+O32</f>
        <v>392500.00000000006</v>
      </c>
      <c r="R33" s="77"/>
      <c r="S33" s="77"/>
      <c r="T33" s="77"/>
      <c r="U33" s="78">
        <f>+T32+S32</f>
        <v>240000</v>
      </c>
      <c r="V33" s="77"/>
      <c r="W33" s="77"/>
      <c r="X33" s="77"/>
      <c r="Y33" s="78">
        <f>+X32+W32</f>
        <v>6765.88</v>
      </c>
      <c r="Z33" s="79">
        <f ca="1">TODAY()</f>
        <v>43474</v>
      </c>
      <c r="AA33" s="80">
        <f>AA32/Z32</f>
        <v>1</v>
      </c>
      <c r="AB33" s="81"/>
    </row>
    <row r="34" spans="1:29" s="6" customFormat="1" ht="13" x14ac:dyDescent="0.3">
      <c r="A34" s="21" t="s">
        <v>27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5"/>
      <c r="Q34" s="10"/>
      <c r="R34" s="10"/>
      <c r="S34" s="10"/>
      <c r="T34" s="10"/>
      <c r="U34" s="10"/>
      <c r="V34" s="10"/>
      <c r="W34" s="10"/>
      <c r="X34" s="10"/>
      <c r="Y34" s="10"/>
      <c r="AA34" s="14"/>
    </row>
    <row r="35" spans="1:29" s="6" customFormat="1" ht="13" x14ac:dyDescent="0.3">
      <c r="A35" s="21" t="s">
        <v>28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5"/>
      <c r="O35" s="10"/>
      <c r="P35" s="15"/>
      <c r="Q35" s="19"/>
      <c r="R35" s="19"/>
      <c r="S35" s="10"/>
      <c r="T35" s="10"/>
      <c r="U35" s="10"/>
      <c r="V35" s="19"/>
      <c r="W35" s="10"/>
      <c r="X35" s="10"/>
      <c r="Y35" s="10"/>
      <c r="Z35" s="9"/>
      <c r="AA35" s="7"/>
      <c r="AB35" s="14"/>
    </row>
    <row r="36" spans="1:29" x14ac:dyDescent="0.25">
      <c r="A36" s="22" t="s">
        <v>29</v>
      </c>
      <c r="B36" s="5"/>
      <c r="C36" s="5"/>
      <c r="D36" s="5"/>
      <c r="E36" s="5"/>
      <c r="F36" s="5"/>
      <c r="G36" s="5"/>
      <c r="H36" s="5"/>
      <c r="I36" s="5"/>
      <c r="J36" s="5"/>
      <c r="L36" s="4"/>
      <c r="M36" s="4"/>
      <c r="O36" s="4"/>
      <c r="T36" s="4"/>
      <c r="X36" s="4"/>
    </row>
    <row r="37" spans="1:29" x14ac:dyDescent="0.25">
      <c r="A37" s="22" t="s">
        <v>32</v>
      </c>
      <c r="K37" s="4"/>
      <c r="L37" s="4"/>
      <c r="M37" s="23"/>
      <c r="N37" s="24"/>
      <c r="O37" s="24"/>
      <c r="P37" s="24"/>
      <c r="Q37" s="24"/>
      <c r="R37" s="23"/>
      <c r="S37" s="4"/>
      <c r="V37" s="23"/>
      <c r="W37" s="4"/>
      <c r="AB37" s="4"/>
    </row>
    <row r="38" spans="1:29" x14ac:dyDescent="0.25">
      <c r="A38" s="22" t="s">
        <v>36</v>
      </c>
      <c r="M38" s="23"/>
      <c r="N38" s="23"/>
      <c r="O38" s="23"/>
      <c r="P38" s="24"/>
      <c r="Q38" s="25"/>
      <c r="R38" s="24"/>
      <c r="T38" s="4"/>
      <c r="V38" s="24"/>
      <c r="X38" s="4"/>
      <c r="AA38" s="4"/>
    </row>
    <row r="39" spans="1:29" x14ac:dyDescent="0.25">
      <c r="A39" s="22" t="s">
        <v>35</v>
      </c>
      <c r="M39" s="23"/>
      <c r="N39" s="23"/>
      <c r="O39" s="23"/>
      <c r="P39" s="23"/>
      <c r="Q39" s="25"/>
      <c r="R39" s="24"/>
      <c r="T39" s="4"/>
      <c r="U39" s="4"/>
      <c r="V39" s="24"/>
      <c r="X39" s="4"/>
      <c r="AA39" s="4"/>
    </row>
    <row r="40" spans="1:29" x14ac:dyDescent="0.25">
      <c r="A40" s="22" t="s">
        <v>37</v>
      </c>
      <c r="M40" s="23"/>
      <c r="N40" s="23"/>
      <c r="O40" s="24"/>
      <c r="P40" s="24"/>
      <c r="Q40" s="24"/>
      <c r="R40" s="24"/>
      <c r="T40" s="4"/>
      <c r="V40" s="24"/>
      <c r="X40" s="4"/>
      <c r="AC40" s="4"/>
    </row>
    <row r="41" spans="1:29" x14ac:dyDescent="0.25">
      <c r="A41" s="22" t="s">
        <v>38</v>
      </c>
      <c r="M41" s="23"/>
      <c r="N41" s="23"/>
      <c r="O41" s="24"/>
      <c r="P41" s="23"/>
      <c r="Q41" s="24"/>
      <c r="R41" s="24"/>
      <c r="S41" s="17"/>
      <c r="T41" s="4"/>
      <c r="V41" s="24"/>
      <c r="W41" s="17"/>
      <c r="X41" s="4"/>
    </row>
    <row r="42" spans="1:29" x14ac:dyDescent="0.25">
      <c r="A42" s="22" t="s">
        <v>42</v>
      </c>
      <c r="H42" s="4"/>
      <c r="I42" s="16"/>
      <c r="M42" s="23"/>
      <c r="N42" s="23"/>
      <c r="O42" s="23"/>
      <c r="P42" s="24"/>
      <c r="Q42" s="24"/>
      <c r="R42" s="24"/>
      <c r="T42" s="4"/>
      <c r="V42" s="24"/>
      <c r="X42" s="4"/>
      <c r="AA42" s="4"/>
    </row>
    <row r="43" spans="1:29" x14ac:dyDescent="0.25">
      <c r="A43" s="22" t="s">
        <v>41</v>
      </c>
      <c r="I43" s="16"/>
      <c r="M43" s="23"/>
      <c r="N43" s="23"/>
      <c r="O43" s="23"/>
      <c r="P43" s="23"/>
      <c r="Q43" s="24"/>
      <c r="R43" s="24"/>
      <c r="T43" s="17"/>
      <c r="V43" s="24"/>
      <c r="X43" s="17"/>
    </row>
    <row r="44" spans="1:29" x14ac:dyDescent="0.25">
      <c r="A44" s="22" t="s">
        <v>43</v>
      </c>
      <c r="M44" s="23"/>
      <c r="N44" s="23"/>
      <c r="O44" s="23"/>
      <c r="P44" s="23"/>
      <c r="Q44" s="24"/>
      <c r="R44" s="24"/>
      <c r="S44" s="5"/>
      <c r="T44" s="4"/>
      <c r="V44" s="24"/>
      <c r="W44" s="5"/>
      <c r="X44" s="4"/>
    </row>
    <row r="45" spans="1:29" x14ac:dyDescent="0.25">
      <c r="A45" s="22" t="s">
        <v>44</v>
      </c>
      <c r="I45" s="16"/>
      <c r="M45" s="23"/>
      <c r="N45" s="23"/>
      <c r="O45" s="23"/>
      <c r="P45" s="24"/>
      <c r="Q45" s="23"/>
      <c r="R45" s="23"/>
      <c r="S45" s="5"/>
      <c r="T45" s="4"/>
      <c r="V45" s="23"/>
      <c r="W45" s="5"/>
      <c r="X45" s="4"/>
    </row>
    <row r="46" spans="1:29" x14ac:dyDescent="0.25">
      <c r="A46" s="22" t="s">
        <v>46</v>
      </c>
      <c r="I46" s="16"/>
      <c r="M46" s="23"/>
      <c r="N46" s="23"/>
      <c r="O46" s="24"/>
      <c r="P46" s="23"/>
      <c r="Q46" s="23"/>
      <c r="R46" s="23"/>
      <c r="S46" s="5"/>
      <c r="T46" s="4"/>
      <c r="V46" s="23"/>
      <c r="W46" s="5"/>
      <c r="X46" s="4"/>
    </row>
    <row r="47" spans="1:29" x14ac:dyDescent="0.25">
      <c r="A47" s="22" t="s">
        <v>47</v>
      </c>
      <c r="I47" s="16"/>
      <c r="M47" s="23"/>
      <c r="N47" s="23"/>
      <c r="O47" s="23"/>
      <c r="P47" s="23"/>
      <c r="Q47" s="23"/>
      <c r="R47" s="23"/>
      <c r="T47" s="4"/>
      <c r="V47" s="23"/>
      <c r="X47" s="4"/>
    </row>
    <row r="48" spans="1:29" x14ac:dyDescent="0.25">
      <c r="A48" s="22" t="s">
        <v>48</v>
      </c>
      <c r="I48" s="16"/>
      <c r="M48" s="23"/>
      <c r="N48" s="23"/>
      <c r="O48" s="24"/>
      <c r="P48" s="23"/>
      <c r="Q48" s="23"/>
      <c r="R48" s="26"/>
      <c r="S48" s="5"/>
      <c r="T48" s="4"/>
      <c r="V48" s="26"/>
      <c r="W48" s="5"/>
      <c r="X48" s="4"/>
    </row>
    <row r="49" spans="1:24" x14ac:dyDescent="0.25">
      <c r="A49" s="29" t="s">
        <v>49</v>
      </c>
      <c r="C49" s="4"/>
      <c r="I49" s="16"/>
      <c r="T49" s="4"/>
      <c r="X49" s="4"/>
    </row>
    <row r="50" spans="1:24" s="23" customFormat="1" x14ac:dyDescent="0.25">
      <c r="A50" s="29" t="s">
        <v>50</v>
      </c>
      <c r="B50"/>
      <c r="C50"/>
      <c r="D50"/>
      <c r="E50"/>
      <c r="F50"/>
      <c r="G50"/>
      <c r="H50"/>
      <c r="I50" s="27"/>
      <c r="S50" s="28"/>
      <c r="T50" s="24"/>
      <c r="W50" s="28"/>
      <c r="X50" s="24"/>
    </row>
    <row r="51" spans="1:24" s="23" customFormat="1" x14ac:dyDescent="0.25">
      <c r="A51" s="22" t="s">
        <v>52</v>
      </c>
      <c r="P51" s="26"/>
    </row>
    <row r="52" spans="1:24" x14ac:dyDescent="0.25">
      <c r="A52" s="22" t="s">
        <v>51</v>
      </c>
      <c r="R52" s="20"/>
      <c r="V52" s="20"/>
    </row>
    <row r="53" spans="1:24" x14ac:dyDescent="0.25">
      <c r="A53" s="22" t="s">
        <v>56</v>
      </c>
    </row>
    <row r="54" spans="1:24" x14ac:dyDescent="0.25">
      <c r="A54" s="22" t="s">
        <v>53</v>
      </c>
    </row>
    <row r="55" spans="1:24" x14ac:dyDescent="0.25">
      <c r="A55" s="22" t="s">
        <v>55</v>
      </c>
    </row>
    <row r="58" spans="1:24" x14ac:dyDescent="0.25">
      <c r="P58" s="20"/>
    </row>
    <row r="62" spans="1:24" x14ac:dyDescent="0.25">
      <c r="M62" s="4"/>
    </row>
  </sheetData>
  <mergeCells count="7">
    <mergeCell ref="F2:I2"/>
    <mergeCell ref="Z2:AB2"/>
    <mergeCell ref="V2:Y2"/>
    <mergeCell ref="N2:Q2"/>
    <mergeCell ref="B2:E2"/>
    <mergeCell ref="J2:M2"/>
    <mergeCell ref="R2:U2"/>
  </mergeCells>
  <phoneticPr fontId="0" type="noConversion"/>
  <printOptions horizontalCentered="1"/>
  <pageMargins left="0.25" right="0.25" top="0.75" bottom="0.75" header="0.3" footer="0.3"/>
  <pageSetup paperSize="5" scale="51" orientation="landscape" r:id="rId1"/>
  <headerFooter alignWithMargins="0">
    <oddFooter>&amp;R&amp;"-,Regular"&amp;8&amp;Z&amp;F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sqref="A1:XFD23"/>
    </sheetView>
  </sheetViews>
  <sheetFormatPr defaultRowHeight="12.5" x14ac:dyDescent="0.25"/>
  <sheetData>
    <row r="1" spans="1:12" ht="13" x14ac:dyDescent="0.3">
      <c r="A1" s="21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3" x14ac:dyDescent="0.3">
      <c r="A2" s="21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22" t="s">
        <v>29</v>
      </c>
      <c r="B3" s="5"/>
      <c r="C3" s="5"/>
      <c r="D3" s="5"/>
      <c r="E3" s="5"/>
      <c r="F3" s="5"/>
      <c r="G3" s="5"/>
      <c r="H3" s="5"/>
      <c r="I3" s="5"/>
      <c r="J3" s="5"/>
      <c r="L3" s="4"/>
    </row>
    <row r="4" spans="1:12" x14ac:dyDescent="0.25">
      <c r="A4" s="22" t="s">
        <v>32</v>
      </c>
      <c r="K4" s="4"/>
      <c r="L4" s="4"/>
    </row>
    <row r="5" spans="1:12" x14ac:dyDescent="0.25">
      <c r="A5" s="22" t="s">
        <v>36</v>
      </c>
    </row>
    <row r="6" spans="1:12" x14ac:dyDescent="0.25">
      <c r="A6" s="22" t="s">
        <v>35</v>
      </c>
    </row>
    <row r="7" spans="1:12" x14ac:dyDescent="0.25">
      <c r="A7" s="22" t="s">
        <v>37</v>
      </c>
    </row>
    <row r="8" spans="1:12" x14ac:dyDescent="0.25">
      <c r="A8" s="22" t="s">
        <v>38</v>
      </c>
    </row>
    <row r="9" spans="1:12" x14ac:dyDescent="0.25">
      <c r="A9" s="22" t="s">
        <v>42</v>
      </c>
      <c r="H9" s="4"/>
      <c r="I9" s="16"/>
    </row>
    <row r="10" spans="1:12" x14ac:dyDescent="0.25">
      <c r="A10" s="22" t="s">
        <v>41</v>
      </c>
      <c r="I10" s="16"/>
    </row>
    <row r="11" spans="1:12" x14ac:dyDescent="0.25">
      <c r="A11" s="22" t="s">
        <v>43</v>
      </c>
    </row>
    <row r="12" spans="1:12" x14ac:dyDescent="0.25">
      <c r="A12" s="22" t="s">
        <v>44</v>
      </c>
      <c r="I12" s="16"/>
    </row>
    <row r="13" spans="1:12" x14ac:dyDescent="0.25">
      <c r="A13" s="22" t="s">
        <v>46</v>
      </c>
      <c r="I13" s="16"/>
    </row>
    <row r="14" spans="1:12" x14ac:dyDescent="0.25">
      <c r="A14" s="22" t="s">
        <v>47</v>
      </c>
      <c r="I14" s="16"/>
    </row>
    <row r="15" spans="1:12" x14ac:dyDescent="0.25">
      <c r="A15" s="22" t="s">
        <v>48</v>
      </c>
      <c r="I15" s="16"/>
    </row>
    <row r="16" spans="1:12" x14ac:dyDescent="0.25">
      <c r="A16" s="29" t="s">
        <v>49</v>
      </c>
      <c r="C16" s="4"/>
      <c r="I16" s="16"/>
    </row>
    <row r="17" spans="1:12" x14ac:dyDescent="0.25">
      <c r="A17" s="29" t="s">
        <v>50</v>
      </c>
      <c r="I17" s="27"/>
      <c r="J17" s="23"/>
      <c r="K17" s="23"/>
      <c r="L17" s="23"/>
    </row>
    <row r="18" spans="1:12" x14ac:dyDescent="0.25">
      <c r="A18" s="22" t="s">
        <v>52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25">
      <c r="A19" s="22" t="s">
        <v>51</v>
      </c>
    </row>
    <row r="20" spans="1:12" x14ac:dyDescent="0.25">
      <c r="A20" s="22" t="s">
        <v>54</v>
      </c>
    </row>
    <row r="21" spans="1:12" x14ac:dyDescent="0.25">
      <c r="A21" s="22" t="s">
        <v>53</v>
      </c>
    </row>
    <row r="22" spans="1:12" x14ac:dyDescent="0.25">
      <c r="A22" s="22" t="s">
        <v>55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Note</vt:lpstr>
      <vt:lpstr>Sheet3</vt:lpstr>
      <vt:lpstr>Sheet1!Print_Area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CC5135</dc:creator>
  <cp:lastModifiedBy>Cook, Denise</cp:lastModifiedBy>
  <cp:lastPrinted>2019-01-09T23:26:40Z</cp:lastPrinted>
  <dcterms:created xsi:type="dcterms:W3CDTF">1998-10-02T16:53:22Z</dcterms:created>
  <dcterms:modified xsi:type="dcterms:W3CDTF">2019-01-09T23:27:04Z</dcterms:modified>
</cp:coreProperties>
</file>